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20" yWindow="-120" windowWidth="20730" windowHeight="11160" tabRatio="856"/>
  </bookViews>
  <sheets>
    <sheet name="Общ. счетчики" sheetId="1" r:id="rId1"/>
    <sheet name="Под. 1 и 2" sheetId="2" state="hidden" r:id="rId2"/>
    <sheet name="Под. 3" sheetId="3" state="hidden" r:id="rId3"/>
    <sheet name="Под. 4  и 5" sheetId="4" state="hidden" r:id="rId4"/>
    <sheet name="Под.6" sheetId="5" state="hidden" r:id="rId5"/>
    <sheet name="Нежил. пом." sheetId="6" state="hidden" r:id="rId6"/>
    <sheet name="МОП корп. 1" sheetId="7" state="hidden" r:id="rId7"/>
    <sheet name="МОП корп. 2" sheetId="8" state="hidden" r:id="rId8"/>
    <sheet name="МОП корп. 4, 5, 6" sheetId="9" state="hidden" r:id="rId9"/>
    <sheet name="Нежелые помещения" sheetId="16" state="hidden" r:id="rId10"/>
    <sheet name="корп. 3" sheetId="10" r:id="rId11"/>
    <sheet name="Норматив вода" sheetId="11" state="hidden" r:id="rId12"/>
    <sheet name="Норматив ээ" sheetId="12" state="hidden" r:id="rId13"/>
    <sheet name="Справка по ОПУ и ИПУ" sheetId="13" r:id="rId14"/>
    <sheet name="Лист1" sheetId="14" state="hidden" r:id="rId15"/>
    <sheet name="Лист2" sheetId="15" state="hidden" r:id="rId16"/>
    <sheet name="Лист4" sheetId="17" state="hidden" r:id="rId17"/>
    <sheet name="Лист3" sheetId="18" state="hidden" r:id="rId18"/>
  </sheets>
  <externalReferences>
    <externalReference r:id="rId19"/>
    <externalReference r:id="rId20"/>
  </externalReferences>
  <definedNames>
    <definedName name="_xlnm._FilterDatabase" localSheetId="9" hidden="1">'Нежелые помещения'!$F$1:$F$29</definedName>
    <definedName name="_xlnm._FilterDatabase" localSheetId="1" hidden="1">'Под. 1 и 2'!$F$1:$F$119</definedName>
    <definedName name="_xlnm._FilterDatabase" localSheetId="2" hidden="1">'Под. 3'!$F$1:$F$35</definedName>
    <definedName name="_xlnm._FilterDatabase" localSheetId="3" hidden="1">'Под. 4  и 5'!$F$1:$F$62</definedName>
    <definedName name="_xlnm._FilterDatabase" localSheetId="4" hidden="1">Под.6!$F$1:$F$205</definedName>
    <definedName name="Z_11E80AD0_6AA7_470D_8311_11AF96F196E5_.wvu.Cols" localSheetId="1" hidden="1">'Под. 1 и 2'!$H:$I,'Под. 1 и 2'!$K:$L</definedName>
    <definedName name="Z_11E80AD0_6AA7_470D_8311_11AF96F196E5_.wvu.Cols" localSheetId="2" hidden="1">'Под. 3'!$H:$H</definedName>
    <definedName name="Z_11E80AD0_6AA7_470D_8311_11AF96F196E5_.wvu.Cols" localSheetId="4" hidden="1">Под.6!$I:$M</definedName>
    <definedName name="Z_11E80AD0_6AA7_470D_8311_11AF96F196E5_.wvu.FilterData" localSheetId="9" hidden="1">'Нежелые помещения'!$F$1:$F$29</definedName>
    <definedName name="Z_11E80AD0_6AA7_470D_8311_11AF96F196E5_.wvu.FilterData" localSheetId="1" hidden="1">'Под. 1 и 2'!$F$1:$F$119</definedName>
    <definedName name="Z_11E80AD0_6AA7_470D_8311_11AF96F196E5_.wvu.FilterData" localSheetId="2" hidden="1">'Под. 3'!$F$1:$F$35</definedName>
    <definedName name="Z_11E80AD0_6AA7_470D_8311_11AF96F196E5_.wvu.FilterData" localSheetId="3" hidden="1">'Под. 4  и 5'!$F$1:$F$62</definedName>
    <definedName name="Z_11E80AD0_6AA7_470D_8311_11AF96F196E5_.wvu.FilterData" localSheetId="4" hidden="1">Под.6!$F$1:$F$205</definedName>
    <definedName name="Z_11E80AD0_6AA7_470D_8311_11AF96F196E5_.wvu.PrintArea" localSheetId="5" hidden="1">'Нежил. пом.'!$A$1:$H$110</definedName>
    <definedName name="Z_11E80AD0_6AA7_470D_8311_11AF96F196E5_.wvu.PrintArea" localSheetId="0" hidden="1">'Общ. счетчики'!$A$1:$H$59</definedName>
    <definedName name="Z_11E80AD0_6AA7_470D_8311_11AF96F196E5_.wvu.PrintArea" localSheetId="1" hidden="1">'Под. 1 и 2'!$A$1:$G$119</definedName>
    <definedName name="Z_11E80AD0_6AA7_470D_8311_11AF96F196E5_.wvu.PrintArea" localSheetId="2" hidden="1">'Под. 3'!$A$1:$G$50</definedName>
    <definedName name="Z_11E80AD0_6AA7_470D_8311_11AF96F196E5_.wvu.PrintArea" localSheetId="3" hidden="1">'Под. 4  и 5'!$A$1:$G$63</definedName>
    <definedName name="Z_11E80AD0_6AA7_470D_8311_11AF96F196E5_.wvu.PrintArea" localSheetId="4" hidden="1">Под.6!$A$1:$N$204</definedName>
    <definedName name="Z_1298D0A2_0CF6_434E_A6CD_B210E2963ADD_.wvu.Cols" localSheetId="1" hidden="1">'Под. 1 и 2'!$H:$I,'Под. 1 и 2'!$K:$L</definedName>
    <definedName name="Z_1298D0A2_0CF6_434E_A6CD_B210E2963ADD_.wvu.Cols" localSheetId="2" hidden="1">'Под. 3'!$H:$H</definedName>
    <definedName name="Z_1298D0A2_0CF6_434E_A6CD_B210E2963ADD_.wvu.Cols" localSheetId="4" hidden="1">Под.6!$I:$M</definedName>
    <definedName name="Z_1298D0A2_0CF6_434E_A6CD_B210E2963ADD_.wvu.PrintArea" localSheetId="5" hidden="1">'Нежил. пом.'!$A$1:$H$110</definedName>
    <definedName name="Z_1298D0A2_0CF6_434E_A6CD_B210E2963ADD_.wvu.PrintArea" localSheetId="0" hidden="1">'Общ. счетчики'!$A$1:$H$59</definedName>
    <definedName name="Z_1298D0A2_0CF6_434E_A6CD_B210E2963ADD_.wvu.PrintArea" localSheetId="1" hidden="1">'Под. 1 и 2'!$A$1:$G$119</definedName>
    <definedName name="Z_1298D0A2_0CF6_434E_A6CD_B210E2963ADD_.wvu.PrintArea" localSheetId="2" hidden="1">'Под. 3'!$A$1:$G$50</definedName>
    <definedName name="Z_1298D0A2_0CF6_434E_A6CD_B210E2963ADD_.wvu.PrintArea" localSheetId="3" hidden="1">'Под. 4  и 5'!$A$1:$G$63</definedName>
    <definedName name="Z_1298D0A2_0CF6_434E_A6CD_B210E2963ADD_.wvu.PrintArea" localSheetId="4" hidden="1">Под.6!$A$1:$N$204</definedName>
    <definedName name="Z_59BB3A05_2517_4212_B4B0_766CE27362F6_.wvu.Cols" localSheetId="1" hidden="1">'Под. 1 и 2'!$H:$I,'Под. 1 и 2'!$K:$L</definedName>
    <definedName name="Z_59BB3A05_2517_4212_B4B0_766CE27362F6_.wvu.Cols" localSheetId="2" hidden="1">'Под. 3'!$H:$H</definedName>
    <definedName name="Z_59BB3A05_2517_4212_B4B0_766CE27362F6_.wvu.Cols" localSheetId="4" hidden="1">Под.6!$I:$M</definedName>
    <definedName name="Z_59BB3A05_2517_4212_B4B0_766CE27362F6_.wvu.FilterData" localSheetId="9" hidden="1">'Нежелые помещения'!$F$1:$F$29</definedName>
    <definedName name="Z_59BB3A05_2517_4212_B4B0_766CE27362F6_.wvu.FilterData" localSheetId="1" hidden="1">'Под. 1 и 2'!$F$1:$F$119</definedName>
    <definedName name="Z_59BB3A05_2517_4212_B4B0_766CE27362F6_.wvu.FilterData" localSheetId="2" hidden="1">'Под. 3'!$F$1:$F$35</definedName>
    <definedName name="Z_59BB3A05_2517_4212_B4B0_766CE27362F6_.wvu.FilterData" localSheetId="3" hidden="1">'Под. 4  и 5'!$F$1:$F$62</definedName>
    <definedName name="Z_59BB3A05_2517_4212_B4B0_766CE27362F6_.wvu.FilterData" localSheetId="4" hidden="1">Под.6!$F$1:$F$205</definedName>
    <definedName name="Z_59BB3A05_2517_4212_B4B0_766CE27362F6_.wvu.PrintArea" localSheetId="5" hidden="1">'Нежил. пом.'!$A$1:$H$110</definedName>
    <definedName name="Z_59BB3A05_2517_4212_B4B0_766CE27362F6_.wvu.PrintArea" localSheetId="0" hidden="1">'Общ. счетчики'!$A$1:$H$59</definedName>
    <definedName name="Z_59BB3A05_2517_4212_B4B0_766CE27362F6_.wvu.PrintArea" localSheetId="1" hidden="1">'Под. 1 и 2'!$A$1:$G$119</definedName>
    <definedName name="Z_59BB3A05_2517_4212_B4B0_766CE27362F6_.wvu.PrintArea" localSheetId="2" hidden="1">'Под. 3'!$A$1:$G$50</definedName>
    <definedName name="Z_59BB3A05_2517_4212_B4B0_766CE27362F6_.wvu.PrintArea" localSheetId="3" hidden="1">'Под. 4  и 5'!$A$1:$G$63</definedName>
    <definedName name="Z_59BB3A05_2517_4212_B4B0_766CE27362F6_.wvu.PrintArea" localSheetId="4" hidden="1">Под.6!$A$1:$N$204</definedName>
    <definedName name="_xlnm.Print_Area" localSheetId="5">'Нежил. пом.'!$A$1:$H$110</definedName>
    <definedName name="_xlnm.Print_Area" localSheetId="0">'Общ. счетчики'!$A$1:$H$59</definedName>
    <definedName name="_xlnm.Print_Area" localSheetId="1">'Под. 1 и 2'!$A$1:$G$119</definedName>
    <definedName name="_xlnm.Print_Area" localSheetId="2">'Под. 3'!$A$1:$G$50</definedName>
    <definedName name="_xlnm.Print_Area" localSheetId="3">'Под. 4  и 5'!$A$1:$G$63</definedName>
    <definedName name="_xlnm.Print_Area" localSheetId="4">Под.6!$A$1:$N$204</definedName>
  </definedNames>
  <calcPr calcId="145621"/>
  <customWorkbookViews>
    <customWorkbookView name="HP - Личное представление" guid="{59BB3A05-2517-4212-B4B0-766CE27362F6}" mergeInterval="0" personalView="1" maximized="1" windowWidth="1362" windowHeight="523" tabRatio="856" activeSheetId="1"/>
    <customWorkbookView name="Алексей - Личное представление" guid="{11E80AD0-6AA7-470D-8311-11AF96F196E5}" mergeInterval="0" personalView="1" maximized="1" xWindow="-8" yWindow="-8" windowWidth="1382" windowHeight="744" tabRatio="856" activeSheetId="13"/>
    <customWorkbookView name="Бухгалтер - Личное представление" guid="{1298D0A2-0CF6-434E-A6CD-B210E2963ADD}" mergeInterval="0" personalView="1" maximized="1" xWindow="-8" yWindow="-8" windowWidth="1296" windowHeight="936" tabRatio="856" activeSheetId="12"/>
  </customWorkbookViews>
</workbook>
</file>

<file path=xl/calcChain.xml><?xml version="1.0" encoding="utf-8"?>
<calcChain xmlns="http://schemas.openxmlformats.org/spreadsheetml/2006/main">
  <c r="B52" i="1" l="1"/>
  <c r="G6" i="13"/>
  <c r="F8" i="13" l="1"/>
  <c r="F7" i="13"/>
  <c r="E7" i="13" l="1"/>
  <c r="E6" i="13" s="1"/>
  <c r="F6" i="13"/>
  <c r="F69" i="2"/>
  <c r="C8" i="10" l="1"/>
  <c r="F10" i="16" l="1"/>
  <c r="G32" i="3"/>
  <c r="F9" i="16" l="1"/>
  <c r="G10" i="13" l="1"/>
  <c r="F183" i="5" l="1"/>
  <c r="F13" i="3" l="1"/>
  <c r="G202" i="5" l="1"/>
  <c r="F75" i="5" l="1"/>
  <c r="F82" i="2" l="1"/>
  <c r="F57" i="2"/>
  <c r="F33" i="2"/>
  <c r="F30" i="4"/>
  <c r="F178" i="5"/>
  <c r="F165" i="5"/>
  <c r="F93" i="5"/>
  <c r="F69" i="5"/>
  <c r="F14" i="5"/>
  <c r="G60" i="4" l="1"/>
  <c r="G9" i="13" l="1"/>
  <c r="E9" i="13"/>
  <c r="F9" i="13" l="1"/>
  <c r="F8" i="18" l="1"/>
  <c r="E8" i="18" s="1"/>
  <c r="F7" i="18"/>
  <c r="E5" i="18"/>
  <c r="F9" i="18" l="1"/>
  <c r="E7" i="18" l="1"/>
  <c r="G6" i="18"/>
  <c r="F6" i="18"/>
  <c r="E6" i="18" l="1"/>
  <c r="E9" i="18"/>
  <c r="F28" i="16" l="1"/>
  <c r="F27" i="16"/>
  <c r="F26" i="16"/>
  <c r="F4" i="16"/>
  <c r="F5" i="16" s="1"/>
  <c r="F23" i="16"/>
  <c r="F22" i="16"/>
  <c r="F21" i="16"/>
  <c r="F20" i="16"/>
  <c r="F19" i="16"/>
  <c r="F18" i="16"/>
  <c r="F17" i="16"/>
  <c r="F15" i="16"/>
  <c r="F14" i="16"/>
  <c r="F13" i="16"/>
  <c r="F11" i="16"/>
  <c r="F8" i="16"/>
  <c r="F7" i="16"/>
  <c r="F24" i="16" l="1"/>
  <c r="F16" i="16"/>
  <c r="F12" i="16"/>
  <c r="F46" i="5"/>
  <c r="F29" i="16" l="1"/>
  <c r="M9" i="18" s="1"/>
  <c r="B6" i="7" l="1"/>
  <c r="B6" i="8" l="1"/>
  <c r="B6" i="9"/>
  <c r="C33" i="11"/>
  <c r="C29" i="11"/>
  <c r="C28" i="11"/>
  <c r="C21" i="11"/>
  <c r="C17" i="11"/>
  <c r="C16" i="11"/>
  <c r="C9" i="11"/>
  <c r="C5" i="11"/>
  <c r="C4" i="11"/>
  <c r="C9" i="12"/>
  <c r="C5" i="12"/>
  <c r="C4" i="12"/>
  <c r="D10" i="10" l="1"/>
  <c r="F167" i="5" l="1"/>
  <c r="F63" i="5"/>
  <c r="F51" i="5"/>
  <c r="F57" i="6" l="1"/>
  <c r="F23" i="2" l="1"/>
  <c r="F56" i="6" l="1"/>
  <c r="G56" i="6" s="1"/>
  <c r="G57" i="6"/>
  <c r="F65" i="6" l="1"/>
  <c r="G65" i="6" s="1"/>
  <c r="F63" i="6" l="1"/>
  <c r="F44" i="4" l="1"/>
  <c r="F119" i="5" l="1"/>
  <c r="F8" i="3"/>
  <c r="F107" i="2" l="1"/>
  <c r="F92" i="2"/>
  <c r="F27" i="5" l="1"/>
  <c r="F21" i="4" l="1"/>
  <c r="F15" i="3" l="1"/>
  <c r="F6" i="2"/>
  <c r="F58" i="5" l="1"/>
  <c r="D225" i="8" l="1"/>
  <c r="F9" i="10" l="1"/>
  <c r="G9" i="10" s="1"/>
  <c r="F74" i="5" l="1"/>
  <c r="F33" i="6" l="1"/>
  <c r="F17" i="6" l="1"/>
  <c r="F9" i="6" l="1"/>
  <c r="F53" i="6" l="1"/>
  <c r="G53" i="6" s="1"/>
  <c r="F95" i="6" l="1"/>
  <c r="F190" i="5" l="1"/>
  <c r="F61" i="5" l="1"/>
  <c r="F43" i="4" l="1"/>
  <c r="F79" i="6" l="1"/>
  <c r="C11" i="10" l="1"/>
  <c r="F11" i="10" s="1"/>
  <c r="G11" i="10" s="1"/>
  <c r="F20" i="2" l="1"/>
  <c r="F158" i="5" l="1"/>
  <c r="F100" i="2"/>
  <c r="F31" i="2" l="1"/>
  <c r="F80" i="5" l="1"/>
  <c r="E95" i="8" l="1"/>
  <c r="G95" i="8" s="1"/>
  <c r="E23" i="9" l="1"/>
  <c r="E25" i="9"/>
  <c r="G25" i="9" s="1"/>
  <c r="D28" i="9"/>
  <c r="E26" i="9"/>
  <c r="G26" i="9" s="1"/>
  <c r="F111" i="5" l="1"/>
  <c r="F110" i="5"/>
  <c r="F128" i="5" l="1"/>
  <c r="F6" i="5" l="1"/>
  <c r="E26" i="7" l="1"/>
  <c r="F43" i="2" l="1"/>
  <c r="F198" i="5" l="1"/>
  <c r="F105" i="5" l="1"/>
  <c r="F68" i="5" l="1"/>
  <c r="F9" i="4" l="1"/>
  <c r="E18" i="7" l="1"/>
  <c r="E96" i="8"/>
  <c r="F89" i="5" l="1"/>
  <c r="F79" i="5"/>
  <c r="F19" i="5" l="1"/>
  <c r="F160" i="5" l="1"/>
  <c r="F47" i="5"/>
  <c r="F110" i="2" l="1"/>
  <c r="L96" i="8" l="1"/>
  <c r="L97" i="8"/>
  <c r="K98" i="8" l="1"/>
  <c r="F112" i="5"/>
  <c r="F30" i="2" l="1"/>
  <c r="F197" i="5" l="1"/>
  <c r="F31" i="6" l="1"/>
  <c r="F64" i="2" l="1"/>
  <c r="F74" i="2" l="1"/>
  <c r="F62" i="6" l="1"/>
  <c r="G62" i="6" s="1"/>
  <c r="F130" i="5" l="1"/>
  <c r="F9" i="2"/>
  <c r="F98" i="2" l="1"/>
  <c r="F8" i="2" l="1"/>
  <c r="F29" i="5" l="1"/>
  <c r="F77" i="2" l="1"/>
  <c r="F19" i="2" l="1"/>
  <c r="F181" i="5" l="1"/>
  <c r="F39" i="5"/>
  <c r="C13" i="10" l="1"/>
  <c r="F16" i="5" l="1"/>
  <c r="F15" i="6" l="1"/>
  <c r="F193" i="5" l="1"/>
  <c r="F88" i="6" l="1"/>
  <c r="F90" i="6" s="1"/>
  <c r="F41" i="6"/>
  <c r="F16" i="6"/>
  <c r="F19" i="6" s="1"/>
  <c r="F106" i="5"/>
  <c r="F109" i="2" l="1"/>
  <c r="F9" i="3" l="1"/>
  <c r="F10" i="3"/>
  <c r="F11" i="3"/>
  <c r="F12" i="3"/>
  <c r="F14" i="3"/>
  <c r="F16" i="3"/>
  <c r="F17" i="3"/>
  <c r="F18" i="3"/>
  <c r="F19" i="3"/>
  <c r="F20" i="3"/>
  <c r="F21" i="3"/>
  <c r="F22" i="3"/>
  <c r="F23" i="3"/>
  <c r="F24" i="3"/>
  <c r="F25" i="3"/>
  <c r="F26" i="3"/>
  <c r="F27" i="3"/>
  <c r="F29" i="3"/>
  <c r="F30" i="3"/>
  <c r="F31" i="3"/>
  <c r="F7" i="3"/>
  <c r="F113" i="2"/>
  <c r="F112" i="2"/>
  <c r="F114" i="2"/>
  <c r="F115" i="2"/>
  <c r="F116" i="2"/>
  <c r="F117" i="2"/>
  <c r="F11" i="2"/>
  <c r="F12" i="2"/>
  <c r="F13" i="2"/>
  <c r="F14" i="2"/>
  <c r="F15" i="2"/>
  <c r="F16" i="2"/>
  <c r="F17" i="2"/>
  <c r="F18" i="2"/>
  <c r="F21" i="2"/>
  <c r="F22" i="2"/>
  <c r="F24" i="2"/>
  <c r="F25" i="2"/>
  <c r="F26" i="2"/>
  <c r="F27" i="2"/>
  <c r="F28" i="2"/>
  <c r="F29" i="2"/>
  <c r="F32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8" i="2"/>
  <c r="F59" i="2"/>
  <c r="F60" i="2"/>
  <c r="F61" i="2"/>
  <c r="F62" i="2"/>
  <c r="F63" i="2"/>
  <c r="F65" i="2"/>
  <c r="F66" i="2"/>
  <c r="F67" i="2"/>
  <c r="F68" i="2"/>
  <c r="F70" i="2"/>
  <c r="F71" i="2"/>
  <c r="F72" i="2"/>
  <c r="F73" i="2"/>
  <c r="F75" i="2"/>
  <c r="F76" i="2"/>
  <c r="F78" i="2"/>
  <c r="F79" i="2"/>
  <c r="F80" i="2"/>
  <c r="F81" i="2"/>
  <c r="F83" i="2"/>
  <c r="F84" i="2"/>
  <c r="F85" i="2"/>
  <c r="F86" i="2"/>
  <c r="F87" i="2"/>
  <c r="F88" i="2"/>
  <c r="F89" i="2"/>
  <c r="F90" i="2"/>
  <c r="F91" i="2"/>
  <c r="F93" i="2"/>
  <c r="F94" i="2"/>
  <c r="F95" i="2"/>
  <c r="F96" i="2"/>
  <c r="F97" i="2"/>
  <c r="F99" i="2"/>
  <c r="F101" i="2"/>
  <c r="F102" i="2"/>
  <c r="F103" i="2"/>
  <c r="F104" i="2"/>
  <c r="F105" i="2"/>
  <c r="F106" i="2"/>
  <c r="F108" i="2"/>
  <c r="F32" i="3" l="1"/>
  <c r="F124" i="5"/>
  <c r="D33" i="11" l="1"/>
  <c r="E33" i="11" s="1"/>
  <c r="E32" i="11"/>
  <c r="E31" i="11"/>
  <c r="D30" i="11"/>
  <c r="E30" i="11" s="1"/>
  <c r="D29" i="11"/>
  <c r="E29" i="11" s="1"/>
  <c r="D28" i="11"/>
  <c r="E28" i="11" s="1"/>
  <c r="D21" i="11"/>
  <c r="E21" i="11" s="1"/>
  <c r="E20" i="11"/>
  <c r="E19" i="11"/>
  <c r="D18" i="11"/>
  <c r="E18" i="11" s="1"/>
  <c r="D17" i="11"/>
  <c r="E17" i="11" s="1"/>
  <c r="D16" i="11"/>
  <c r="E16" i="11" s="1"/>
  <c r="B10" i="12" l="1"/>
  <c r="D9" i="12"/>
  <c r="E9" i="12" s="1"/>
  <c r="G9" i="12" s="1"/>
  <c r="E8" i="12"/>
  <c r="E7" i="12"/>
  <c r="D6" i="12"/>
  <c r="E6" i="12" s="1"/>
  <c r="G6" i="12" s="1"/>
  <c r="D5" i="12"/>
  <c r="E5" i="12" s="1"/>
  <c r="D4" i="12"/>
  <c r="D9" i="11"/>
  <c r="E9" i="11" s="1"/>
  <c r="E8" i="11"/>
  <c r="E7" i="11"/>
  <c r="D6" i="11"/>
  <c r="E6" i="11" s="1"/>
  <c r="D5" i="11"/>
  <c r="E5" i="11" s="1"/>
  <c r="D4" i="11"/>
  <c r="E4" i="11" s="1"/>
  <c r="G4" i="11" s="1"/>
  <c r="H4" i="11" s="1"/>
  <c r="E4" i="12" l="1"/>
  <c r="D11" i="12"/>
  <c r="F84" i="5"/>
  <c r="F191" i="5" l="1"/>
  <c r="F170" i="5"/>
  <c r="F141" i="5"/>
  <c r="F65" i="5"/>
  <c r="F18" i="5"/>
  <c r="F64" i="6" l="1"/>
  <c r="G64" i="6" s="1"/>
  <c r="F20" i="4" l="1"/>
  <c r="F132" i="5" l="1"/>
  <c r="F114" i="5"/>
  <c r="F115" i="5"/>
  <c r="F107" i="5"/>
  <c r="F96" i="5"/>
  <c r="F67" i="5"/>
  <c r="F8" i="6" l="1"/>
  <c r="F185" i="5" l="1"/>
  <c r="F34" i="4"/>
  <c r="F12" i="5"/>
  <c r="F10" i="6" l="1"/>
  <c r="F9" i="5" l="1"/>
  <c r="F85" i="6" l="1"/>
  <c r="F201" i="5" l="1"/>
  <c r="F83" i="6" l="1"/>
  <c r="F32" i="6" l="1"/>
  <c r="E49" i="1" l="1"/>
  <c r="G49" i="1" s="1"/>
  <c r="E48" i="1"/>
  <c r="G48" i="1" s="1"/>
  <c r="F7" i="5"/>
  <c r="F11" i="5"/>
  <c r="F30" i="6" l="1"/>
  <c r="F24" i="5"/>
  <c r="F73" i="5"/>
  <c r="F123" i="5"/>
  <c r="F46" i="4" l="1"/>
  <c r="C11" i="12" l="1"/>
  <c r="H6" i="12"/>
  <c r="G5" i="12"/>
  <c r="E13" i="9"/>
  <c r="E17" i="8"/>
  <c r="C12" i="12" l="1"/>
  <c r="H13" i="12"/>
  <c r="E24" i="7"/>
  <c r="E17" i="7"/>
  <c r="E20" i="7"/>
  <c r="B34" i="11" l="1"/>
  <c r="B35" i="11" s="1"/>
  <c r="B22" i="11"/>
  <c r="B23" i="11" s="1"/>
  <c r="C23" i="11"/>
  <c r="F22" i="6" l="1"/>
  <c r="F66" i="6" l="1"/>
  <c r="G66" i="6" s="1"/>
  <c r="F84" i="6" l="1"/>
  <c r="F14" i="6" l="1"/>
  <c r="F21" i="6" l="1"/>
  <c r="F55" i="6"/>
  <c r="G55" i="6" s="1"/>
  <c r="F28" i="5"/>
  <c r="F11" i="6" l="1"/>
  <c r="F60" i="6" l="1"/>
  <c r="G60" i="6" s="1"/>
  <c r="F87" i="6"/>
  <c r="F23" i="6"/>
  <c r="F61" i="6" l="1"/>
  <c r="G61" i="6" s="1"/>
  <c r="F59" i="6"/>
  <c r="G59" i="6" s="1"/>
  <c r="F58" i="6"/>
  <c r="G58" i="6" s="1"/>
  <c r="F80" i="6"/>
  <c r="F8" i="4" l="1"/>
  <c r="F11" i="4"/>
  <c r="F12" i="4"/>
  <c r="F13" i="4"/>
  <c r="F15" i="4"/>
  <c r="F16" i="4"/>
  <c r="F17" i="4"/>
  <c r="F18" i="4"/>
  <c r="F19" i="4"/>
  <c r="F22" i="4"/>
  <c r="F24" i="4"/>
  <c r="F25" i="4"/>
  <c r="F26" i="4"/>
  <c r="F29" i="4"/>
  <c r="F33" i="4"/>
  <c r="F36" i="4"/>
  <c r="F39" i="4"/>
  <c r="F56" i="4"/>
  <c r="F86" i="6"/>
  <c r="F34" i="6" l="1"/>
  <c r="F29" i="6" l="1"/>
  <c r="F42" i="6" s="1"/>
  <c r="F7" i="6" l="1"/>
  <c r="F196" i="5"/>
  <c r="F59" i="4"/>
  <c r="H5" i="12" l="1"/>
  <c r="F12" i="6" l="1"/>
  <c r="F43" i="5" l="1"/>
  <c r="F97" i="5"/>
  <c r="F173" i="5"/>
  <c r="F57" i="4"/>
  <c r="F146" i="5"/>
  <c r="F62" i="5"/>
  <c r="F31" i="5"/>
  <c r="F55" i="5" l="1"/>
  <c r="F47" i="4" l="1"/>
  <c r="F35" i="6" l="1"/>
  <c r="G32" i="11" l="1"/>
  <c r="H32" i="11" s="1"/>
  <c r="G30" i="11"/>
  <c r="H30" i="11" s="1"/>
  <c r="G29" i="11"/>
  <c r="H29" i="11" s="1"/>
  <c r="G28" i="1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C35" i="11"/>
  <c r="G33" i="11"/>
  <c r="H33" i="11" s="1"/>
  <c r="G31" i="11"/>
  <c r="H31" i="11" s="1"/>
  <c r="H16" i="11" l="1"/>
  <c r="G23" i="11"/>
  <c r="H23" i="11" s="1"/>
  <c r="G5" i="11"/>
  <c r="H5" i="11" s="1"/>
  <c r="E35" i="11"/>
  <c r="E23" i="11"/>
  <c r="C11" i="11"/>
  <c r="B10" i="11"/>
  <c r="B11" i="11" s="1"/>
  <c r="G9" i="11"/>
  <c r="H9" i="11" s="1"/>
  <c r="G8" i="11" l="1"/>
  <c r="H8" i="11" s="1"/>
  <c r="G7" i="11"/>
  <c r="G35" i="11"/>
  <c r="H35" i="11" s="1"/>
  <c r="H28" i="11"/>
  <c r="E30" i="9"/>
  <c r="E94" i="8" l="1"/>
  <c r="E10" i="9"/>
  <c r="E14" i="9"/>
  <c r="E24" i="9"/>
  <c r="H7" i="11"/>
  <c r="F67" i="6" l="1"/>
  <c r="G67" i="6" s="1"/>
  <c r="F174" i="5" l="1"/>
  <c r="F163" i="5" l="1"/>
  <c r="F195" i="5"/>
  <c r="F101" i="5"/>
  <c r="F44" i="5"/>
  <c r="F68" i="6" l="1"/>
  <c r="G68" i="6" s="1"/>
  <c r="C89" i="6" l="1"/>
  <c r="E39" i="1"/>
  <c r="G39" i="1" s="1"/>
  <c r="E38" i="1"/>
  <c r="G38" i="1" s="1"/>
  <c r="E37" i="1"/>
  <c r="G37" i="1" s="1"/>
  <c r="E47" i="1"/>
  <c r="G47" i="1" s="1"/>
  <c r="E46" i="1"/>
  <c r="G46" i="1" s="1"/>
  <c r="E45" i="1"/>
  <c r="G45" i="1" s="1"/>
  <c r="E36" i="1"/>
  <c r="G36" i="1" s="1"/>
  <c r="E34" i="1"/>
  <c r="G34" i="1" s="1"/>
  <c r="E33" i="1"/>
  <c r="G33" i="1" s="1"/>
  <c r="E30" i="1"/>
  <c r="G30" i="1" s="1"/>
  <c r="C42" i="6"/>
  <c r="E21" i="1"/>
  <c r="G21" i="1" s="1"/>
  <c r="E20" i="1"/>
  <c r="G20" i="1" s="1"/>
  <c r="E19" i="1"/>
  <c r="G19" i="1" s="1"/>
  <c r="E18" i="1"/>
  <c r="G18" i="1" s="1"/>
  <c r="E16" i="1"/>
  <c r="G16" i="1" s="1"/>
  <c r="E15" i="1"/>
  <c r="G15" i="1" s="1"/>
  <c r="E14" i="1"/>
  <c r="G14" i="1" s="1"/>
  <c r="E13" i="1"/>
  <c r="G13" i="1" s="1"/>
  <c r="E11" i="1"/>
  <c r="G11" i="1" s="1"/>
  <c r="E10" i="1"/>
  <c r="G10" i="1" s="1"/>
  <c r="E9" i="1"/>
  <c r="G9" i="1" s="1"/>
  <c r="E8" i="1"/>
  <c r="G8" i="1" s="1"/>
  <c r="L5" i="18" l="1"/>
  <c r="L6" i="18"/>
  <c r="K6" i="18"/>
  <c r="K5" i="18"/>
  <c r="B53" i="1"/>
  <c r="C12" i="16"/>
  <c r="C90" i="6"/>
  <c r="C5" i="16"/>
  <c r="C24" i="16"/>
  <c r="C16" i="16"/>
  <c r="C19" i="6"/>
  <c r="C28" i="6"/>
  <c r="G50" i="1"/>
  <c r="C7" i="10" s="1"/>
  <c r="F204" i="5"/>
  <c r="C43" i="6"/>
  <c r="F61" i="4"/>
  <c r="D119" i="2"/>
  <c r="G22" i="1"/>
  <c r="C33" i="3"/>
  <c r="G12" i="1"/>
  <c r="C18" i="6"/>
  <c r="F102" i="5"/>
  <c r="K7" i="18" l="1"/>
  <c r="L7" i="18" s="1"/>
  <c r="L9" i="18" s="1"/>
  <c r="H18" i="12"/>
  <c r="B54" i="1"/>
  <c r="J7" i="18"/>
  <c r="G23" i="9"/>
  <c r="E22" i="9"/>
  <c r="G22" i="9" s="1"/>
  <c r="G24" i="9"/>
  <c r="D46" i="8"/>
  <c r="E41" i="8"/>
  <c r="G41" i="8" s="1"/>
  <c r="F7" i="10" l="1"/>
  <c r="G7" i="10" s="1"/>
  <c r="F92" i="6"/>
  <c r="F37" i="6"/>
  <c r="F145" i="5" l="1"/>
  <c r="F186" i="5" l="1"/>
  <c r="F8" i="5"/>
  <c r="F52" i="4" l="1"/>
  <c r="F177" i="5"/>
  <c r="F41" i="5"/>
  <c r="F113" i="5" l="1"/>
  <c r="F99" i="5"/>
  <c r="B11" i="12" l="1"/>
  <c r="G7" i="12" l="1"/>
  <c r="H7" i="12" s="1"/>
  <c r="G8" i="12"/>
  <c r="H8" i="12" s="1"/>
  <c r="H9" i="12"/>
  <c r="G4" i="12" l="1"/>
  <c r="G11" i="12" l="1"/>
  <c r="H11" i="12" s="1"/>
  <c r="H4" i="12"/>
  <c r="F49" i="4"/>
  <c r="F76" i="5"/>
  <c r="F159" i="5" l="1"/>
  <c r="E11" i="12" l="1"/>
  <c r="F51" i="4"/>
  <c r="F188" i="5"/>
  <c r="F98" i="5" l="1"/>
  <c r="F69" i="6" l="1"/>
  <c r="G69" i="6" s="1"/>
  <c r="F122" i="5" l="1"/>
  <c r="F26" i="5" l="1"/>
  <c r="G17" i="7" l="1"/>
  <c r="E19" i="7"/>
  <c r="F38" i="4"/>
  <c r="F31" i="4"/>
  <c r="F184" i="5"/>
  <c r="F164" i="5"/>
  <c r="F148" i="5"/>
  <c r="F147" i="5"/>
  <c r="F166" i="5" l="1"/>
  <c r="F127" i="5"/>
  <c r="F82" i="5"/>
  <c r="F77" i="5"/>
  <c r="F35" i="5"/>
  <c r="F54" i="4"/>
  <c r="F187" i="5"/>
  <c r="F144" i="5"/>
  <c r="F175" i="5"/>
  <c r="F103" i="5"/>
  <c r="F50" i="5" l="1"/>
  <c r="D103" i="6"/>
  <c r="F40" i="6" l="1"/>
  <c r="F36" i="6"/>
  <c r="F13" i="6"/>
  <c r="F94" i="6" l="1"/>
  <c r="F96" i="6" s="1"/>
  <c r="F78" i="6"/>
  <c r="F52" i="6"/>
  <c r="G52" i="6" s="1"/>
  <c r="F51" i="6"/>
  <c r="F39" i="6"/>
  <c r="F38" i="6"/>
  <c r="F26" i="6"/>
  <c r="F25" i="6"/>
  <c r="F24" i="6"/>
  <c r="F20" i="6"/>
  <c r="F27" i="6" s="1"/>
  <c r="F18" i="6"/>
  <c r="E31" i="1"/>
  <c r="G31" i="1" s="1"/>
  <c r="F199" i="5"/>
  <c r="F192" i="5"/>
  <c r="F189" i="5"/>
  <c r="F180" i="5"/>
  <c r="F179" i="5"/>
  <c r="F176" i="5"/>
  <c r="F172" i="5"/>
  <c r="F171" i="5"/>
  <c r="F169" i="5"/>
  <c r="F168" i="5"/>
  <c r="F162" i="5"/>
  <c r="F161" i="5"/>
  <c r="F157" i="5"/>
  <c r="F156" i="5"/>
  <c r="F155" i="5"/>
  <c r="F154" i="5"/>
  <c r="F153" i="5"/>
  <c r="F152" i="5"/>
  <c r="F151" i="5"/>
  <c r="F143" i="5"/>
  <c r="F142" i="5"/>
  <c r="F140" i="5"/>
  <c r="F139" i="5"/>
  <c r="F138" i="5"/>
  <c r="F137" i="5"/>
  <c r="F136" i="5"/>
  <c r="F135" i="5"/>
  <c r="F134" i="5"/>
  <c r="F133" i="5"/>
  <c r="F131" i="5"/>
  <c r="F129" i="5"/>
  <c r="F126" i="5"/>
  <c r="F125" i="5"/>
  <c r="F120" i="5"/>
  <c r="F118" i="5"/>
  <c r="F117" i="5"/>
  <c r="F116" i="5"/>
  <c r="F109" i="5"/>
  <c r="F108" i="5"/>
  <c r="F104" i="5"/>
  <c r="F100" i="5"/>
  <c r="F95" i="5"/>
  <c r="F94" i="5"/>
  <c r="F92" i="5"/>
  <c r="F91" i="5"/>
  <c r="F90" i="5"/>
  <c r="F88" i="5"/>
  <c r="F87" i="5"/>
  <c r="F86" i="5"/>
  <c r="F85" i="5"/>
  <c r="F83" i="5"/>
  <c r="F81" i="5"/>
  <c r="F78" i="5"/>
  <c r="F72" i="5"/>
  <c r="F71" i="5"/>
  <c r="F70" i="5"/>
  <c r="F66" i="5"/>
  <c r="F64" i="5"/>
  <c r="F57" i="5"/>
  <c r="F56" i="5"/>
  <c r="F53" i="5"/>
  <c r="F52" i="5"/>
  <c r="F49" i="5"/>
  <c r="F48" i="5"/>
  <c r="F45" i="5"/>
  <c r="F42" i="5"/>
  <c r="F40" i="5"/>
  <c r="F38" i="5"/>
  <c r="F37" i="5"/>
  <c r="F36" i="5"/>
  <c r="F34" i="5"/>
  <c r="F33" i="5"/>
  <c r="F32" i="5"/>
  <c r="F30" i="5"/>
  <c r="F25" i="5"/>
  <c r="F23" i="5"/>
  <c r="F22" i="5"/>
  <c r="F21" i="5"/>
  <c r="F20" i="5"/>
  <c r="F17" i="5"/>
  <c r="F15" i="5"/>
  <c r="F13" i="5"/>
  <c r="F10" i="5"/>
  <c r="F194" i="5"/>
  <c r="F81" i="6"/>
  <c r="F111" i="2"/>
  <c r="F7" i="2"/>
  <c r="F58" i="4"/>
  <c r="F55" i="4"/>
  <c r="F53" i="4"/>
  <c r="F50" i="4"/>
  <c r="F48" i="4"/>
  <c r="F45" i="4"/>
  <c r="F42" i="4"/>
  <c r="F41" i="4"/>
  <c r="F40" i="4"/>
  <c r="F37" i="4"/>
  <c r="F32" i="4"/>
  <c r="F28" i="4"/>
  <c r="F27" i="4"/>
  <c r="F23" i="4"/>
  <c r="F14" i="4"/>
  <c r="F10" i="4"/>
  <c r="F7" i="4"/>
  <c r="F60" i="4" l="1"/>
  <c r="F89" i="6"/>
  <c r="G89" i="6" s="1"/>
  <c r="G51" i="6"/>
  <c r="F72" i="6"/>
  <c r="F44" i="6"/>
  <c r="F28" i="6"/>
  <c r="F43" i="6"/>
  <c r="F50" i="6"/>
  <c r="E82" i="6"/>
  <c r="G40" i="1"/>
  <c r="G35" i="1"/>
  <c r="G17" i="1"/>
  <c r="G23" i="1" s="1"/>
  <c r="C27" i="6"/>
  <c r="C44" i="6" s="1"/>
  <c r="F100" i="6"/>
  <c r="F101" i="6"/>
  <c r="F102" i="6"/>
  <c r="F99" i="6"/>
  <c r="B55" i="1" l="1"/>
  <c r="H21" i="12"/>
  <c r="H14" i="12"/>
  <c r="K9" i="18"/>
  <c r="G78" i="6"/>
  <c r="G80" i="6"/>
  <c r="F45" i="6"/>
  <c r="G79" i="6"/>
  <c r="F103" i="6"/>
  <c r="G72" i="6" l="1"/>
  <c r="F54" i="5"/>
  <c r="F202" i="5" l="1"/>
  <c r="F182" i="5"/>
  <c r="J5" i="18" l="1"/>
  <c r="H16" i="12"/>
  <c r="D34" i="9"/>
  <c r="A11" i="9"/>
  <c r="D35" i="9" l="1"/>
  <c r="D237" i="8"/>
  <c r="B237" i="8"/>
  <c r="B236" i="8"/>
  <c r="B235" i="8"/>
  <c r="D234" i="8"/>
  <c r="B234" i="8"/>
  <c r="B232" i="8"/>
  <c r="B231" i="8"/>
  <c r="B230" i="8"/>
  <c r="B229" i="8"/>
  <c r="D228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D202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D186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D157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D108" i="8"/>
  <c r="B108" i="8"/>
  <c r="B107" i="8"/>
  <c r="B106" i="8"/>
  <c r="B105" i="8"/>
  <c r="B104" i="8"/>
  <c r="B103" i="8"/>
  <c r="B102" i="8"/>
  <c r="B101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D65" i="8"/>
  <c r="B65" i="8"/>
  <c r="B64" i="8"/>
  <c r="B63" i="8"/>
  <c r="B62" i="8"/>
  <c r="B61" i="8"/>
  <c r="B60" i="8"/>
  <c r="D59" i="8"/>
  <c r="B59" i="8"/>
  <c r="B58" i="8"/>
  <c r="B57" i="8"/>
  <c r="B56" i="8"/>
  <c r="B55" i="8"/>
  <c r="B54" i="8"/>
  <c r="B53" i="8"/>
  <c r="D52" i="8"/>
  <c r="B52" i="8"/>
  <c r="B51" i="8"/>
  <c r="B50" i="8"/>
  <c r="B49" i="8"/>
  <c r="A49" i="8"/>
  <c r="B48" i="8"/>
  <c r="D26" i="8"/>
  <c r="A18" i="8"/>
  <c r="A19" i="8" s="1"/>
  <c r="A50" i="8" l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B221" i="7"/>
  <c r="B220" i="7"/>
  <c r="D219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D203" i="7"/>
  <c r="B203" i="7"/>
  <c r="D202" i="7"/>
  <c r="B202" i="7"/>
  <c r="B201" i="7"/>
  <c r="B200" i="7"/>
  <c r="B199" i="7"/>
  <c r="B198" i="7"/>
  <c r="D197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D179" i="7"/>
  <c r="B179" i="7"/>
  <c r="B178" i="7"/>
  <c r="B177" i="7"/>
  <c r="B176" i="7"/>
  <c r="B175" i="7"/>
  <c r="D174" i="7"/>
  <c r="B174" i="7"/>
  <c r="D173" i="7"/>
  <c r="B173" i="7"/>
  <c r="B172" i="7"/>
  <c r="B171" i="7"/>
  <c r="B170" i="7"/>
  <c r="B169" i="7"/>
  <c r="B168" i="7"/>
  <c r="D167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D153" i="7"/>
  <c r="B153" i="7"/>
  <c r="B152" i="7"/>
  <c r="B151" i="7"/>
  <c r="D150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D126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D114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D70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D50" i="7"/>
  <c r="B50" i="7"/>
  <c r="B49" i="7"/>
  <c r="B48" i="7"/>
  <c r="B47" i="7"/>
  <c r="B46" i="7"/>
  <c r="B45" i="7"/>
  <c r="B44" i="7"/>
  <c r="B43" i="7"/>
  <c r="B42" i="7"/>
  <c r="B41" i="7"/>
  <c r="B40" i="7"/>
  <c r="B39" i="7"/>
  <c r="D38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D23" i="7"/>
  <c r="D25" i="7" s="1"/>
  <c r="A18" i="7"/>
  <c r="D222" i="7" l="1"/>
  <c r="D223" i="7" s="1"/>
  <c r="A19" i="7" l="1"/>
  <c r="A20" i="7" s="1"/>
  <c r="A21" i="7" s="1"/>
  <c r="A22" i="7" s="1"/>
  <c r="A23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100" i="8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D36" i="8"/>
  <c r="A20" i="8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7" i="8" s="1"/>
  <c r="A38" i="8" s="1"/>
  <c r="A39" i="8" s="1"/>
  <c r="A40" i="8" s="1"/>
  <c r="D238" i="8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1" i="8" l="1"/>
  <c r="A42" i="8" s="1"/>
  <c r="A43" i="8" s="1"/>
  <c r="A44" i="8" s="1"/>
  <c r="A45" i="8" s="1"/>
  <c r="D239" i="8"/>
  <c r="E197" i="7" l="1"/>
  <c r="G197" i="7" s="1"/>
  <c r="E29" i="7"/>
  <c r="G29" i="7" s="1"/>
  <c r="E191" i="7"/>
  <c r="G191" i="7" s="1"/>
  <c r="E36" i="7"/>
  <c r="G36" i="7" s="1"/>
  <c r="E113" i="7"/>
  <c r="G113" i="7" s="1"/>
  <c r="E114" i="7"/>
  <c r="G114" i="7" s="1"/>
  <c r="E156" i="7"/>
  <c r="G156" i="7" s="1"/>
  <c r="E38" i="7"/>
  <c r="G38" i="7" s="1"/>
  <c r="E78" i="7"/>
  <c r="G78" i="7" s="1"/>
  <c r="E41" i="7"/>
  <c r="G41" i="7" s="1"/>
  <c r="E28" i="7"/>
  <c r="G28" i="7" s="1"/>
  <c r="E97" i="7"/>
  <c r="G97" i="7" s="1"/>
  <c r="E211" i="7"/>
  <c r="G211" i="7" s="1"/>
  <c r="E193" i="7"/>
  <c r="G193" i="7" s="1"/>
  <c r="E84" i="7"/>
  <c r="G84" i="7" s="1"/>
  <c r="G26" i="7"/>
  <c r="E61" i="7"/>
  <c r="G61" i="7" s="1"/>
  <c r="E200" i="7"/>
  <c r="G200" i="7" s="1"/>
  <c r="E213" i="7"/>
  <c r="G213" i="7" s="1"/>
  <c r="E139" i="7"/>
  <c r="G139" i="7" s="1"/>
  <c r="E67" i="7"/>
  <c r="G67" i="7" s="1"/>
  <c r="E90" i="7"/>
  <c r="G90" i="7" s="1"/>
  <c r="E122" i="7"/>
  <c r="G122" i="7" s="1"/>
  <c r="E206" i="7"/>
  <c r="G206" i="7" s="1"/>
  <c r="E51" i="7"/>
  <c r="G51" i="7" s="1"/>
  <c r="E118" i="7"/>
  <c r="G118" i="7" s="1"/>
  <c r="E104" i="7"/>
  <c r="G104" i="7" s="1"/>
  <c r="E93" i="7"/>
  <c r="G93" i="7" s="1"/>
  <c r="E48" i="7"/>
  <c r="G48" i="7" s="1"/>
  <c r="E145" i="7"/>
  <c r="G145" i="7" s="1"/>
  <c r="E70" i="7"/>
  <c r="G70" i="7" s="1"/>
  <c r="E87" i="7"/>
  <c r="G87" i="7" s="1"/>
  <c r="E98" i="7"/>
  <c r="G98" i="7" s="1"/>
  <c r="E179" i="7"/>
  <c r="G179" i="7" s="1"/>
  <c r="E163" i="7"/>
  <c r="G163" i="7" s="1"/>
  <c r="E154" i="7"/>
  <c r="G154" i="7" s="1"/>
  <c r="E53" i="7"/>
  <c r="G53" i="7" s="1"/>
  <c r="E146" i="7"/>
  <c r="G146" i="7" s="1"/>
  <c r="E195" i="7"/>
  <c r="G195" i="7" s="1"/>
  <c r="E144" i="7"/>
  <c r="G144" i="7" s="1"/>
  <c r="E173" i="7"/>
  <c r="G173" i="7" s="1"/>
  <c r="E205" i="7"/>
  <c r="G205" i="7" s="1"/>
  <c r="E132" i="7"/>
  <c r="G132" i="7" s="1"/>
  <c r="E35" i="7"/>
  <c r="G35" i="7" s="1"/>
  <c r="E56" i="7"/>
  <c r="G56" i="7" s="1"/>
  <c r="E111" i="7"/>
  <c r="G111" i="7" s="1"/>
  <c r="E212" i="7"/>
  <c r="G212" i="7" s="1"/>
  <c r="E219" i="7"/>
  <c r="G219" i="7" s="1"/>
  <c r="E107" i="7"/>
  <c r="G107" i="7" s="1"/>
  <c r="E140" i="7"/>
  <c r="G140" i="7" s="1"/>
  <c r="E210" i="7"/>
  <c r="G210" i="7" s="1"/>
  <c r="E202" i="7"/>
  <c r="G202" i="7" s="1"/>
  <c r="E33" i="7"/>
  <c r="G33" i="7" s="1"/>
  <c r="E177" i="7"/>
  <c r="G177" i="7" s="1"/>
  <c r="E135" i="7"/>
  <c r="G135" i="7" s="1"/>
  <c r="E128" i="7"/>
  <c r="G128" i="7" s="1"/>
  <c r="E88" i="7"/>
  <c r="G88" i="7" s="1"/>
  <c r="E130" i="7"/>
  <c r="G130" i="7" s="1"/>
  <c r="E126" i="7"/>
  <c r="G126" i="7" s="1"/>
  <c r="E109" i="7"/>
  <c r="G109" i="7" s="1"/>
  <c r="E77" i="7"/>
  <c r="G77" i="7" s="1"/>
  <c r="E37" i="7"/>
  <c r="G37" i="7" s="1"/>
  <c r="E110" i="7"/>
  <c r="G110" i="7" s="1"/>
  <c r="E204" i="7"/>
  <c r="G204" i="7" s="1"/>
  <c r="E49" i="7"/>
  <c r="G49" i="7" s="1"/>
  <c r="E178" i="7"/>
  <c r="G178" i="7" s="1"/>
  <c r="E148" i="7"/>
  <c r="G148" i="7" s="1"/>
  <c r="E183" i="7"/>
  <c r="G183" i="7" s="1"/>
  <c r="E66" i="7"/>
  <c r="G66" i="7" s="1"/>
  <c r="E103" i="7"/>
  <c r="G103" i="7" s="1"/>
  <c r="E75" i="7"/>
  <c r="G75" i="7" s="1"/>
  <c r="E65" i="7"/>
  <c r="G65" i="7" s="1"/>
  <c r="E39" i="7"/>
  <c r="G39" i="7" s="1"/>
  <c r="E153" i="7"/>
  <c r="G153" i="7" s="1"/>
  <c r="E44" i="7"/>
  <c r="G44" i="7" s="1"/>
  <c r="E214" i="7"/>
  <c r="G214" i="7" s="1"/>
  <c r="E142" i="7"/>
  <c r="G142" i="7" s="1"/>
  <c r="E99" i="7"/>
  <c r="G99" i="7" s="1"/>
  <c r="E161" i="7"/>
  <c r="G161" i="7" s="1"/>
  <c r="E137" i="7"/>
  <c r="G137" i="7" s="1"/>
  <c r="E218" i="7"/>
  <c r="G218" i="7" s="1"/>
  <c r="E82" i="7"/>
  <c r="G82" i="7" s="1"/>
  <c r="E27" i="7"/>
  <c r="G27" i="7" s="1"/>
  <c r="E149" i="7"/>
  <c r="G149" i="7" s="1"/>
  <c r="E165" i="7"/>
  <c r="G165" i="7" s="1"/>
  <c r="E168" i="7"/>
  <c r="G168" i="7" s="1"/>
  <c r="E188" i="7"/>
  <c r="G188" i="7" s="1"/>
  <c r="E96" i="7"/>
  <c r="G96" i="7" s="1"/>
  <c r="E175" i="7"/>
  <c r="G175" i="7" s="1"/>
  <c r="E217" i="7"/>
  <c r="G217" i="7" s="1"/>
  <c r="E34" i="7"/>
  <c r="G34" i="7" s="1"/>
  <c r="E54" i="7"/>
  <c r="G54" i="7" s="1"/>
  <c r="E121" i="7"/>
  <c r="G121" i="7" s="1"/>
  <c r="G20" i="7"/>
  <c r="E124" i="7"/>
  <c r="G124" i="7" s="1"/>
  <c r="E166" i="7"/>
  <c r="G166" i="7" s="1"/>
  <c r="E117" i="7"/>
  <c r="G117" i="7" s="1"/>
  <c r="E94" i="7"/>
  <c r="G94" i="7" s="1"/>
  <c r="E170" i="7"/>
  <c r="G170" i="7" s="1"/>
  <c r="E164" i="7"/>
  <c r="G164" i="7" s="1"/>
  <c r="E115" i="7"/>
  <c r="G115" i="7" s="1"/>
  <c r="E185" i="7"/>
  <c r="G185" i="7" s="1"/>
  <c r="E120" i="7"/>
  <c r="G120" i="7" s="1"/>
  <c r="E106" i="7"/>
  <c r="G106" i="7" s="1"/>
  <c r="E216" i="7"/>
  <c r="G216" i="7" s="1"/>
  <c r="E72" i="7"/>
  <c r="G72" i="7" s="1"/>
  <c r="E199" i="7"/>
  <c r="G199" i="7" s="1"/>
  <c r="E151" i="7"/>
  <c r="G151" i="7" s="1"/>
  <c r="E194" i="7"/>
  <c r="G194" i="7" s="1"/>
  <c r="G19" i="7"/>
  <c r="E40" i="7"/>
  <c r="G40" i="7" s="1"/>
  <c r="E172" i="7"/>
  <c r="G172" i="7" s="1"/>
  <c r="E59" i="7"/>
  <c r="G59" i="7" s="1"/>
  <c r="E184" i="7"/>
  <c r="G184" i="7" s="1"/>
  <c r="E209" i="7"/>
  <c r="G209" i="7" s="1"/>
  <c r="E125" i="7"/>
  <c r="G125" i="7" s="1"/>
  <c r="G18" i="7"/>
  <c r="E220" i="7"/>
  <c r="G220" i="7" s="1"/>
  <c r="E192" i="7"/>
  <c r="G192" i="7" s="1"/>
  <c r="E169" i="7"/>
  <c r="G169" i="7" s="1"/>
  <c r="E181" i="7"/>
  <c r="G181" i="7" s="1"/>
  <c r="E207" i="7"/>
  <c r="G207" i="7" s="1"/>
  <c r="E58" i="7"/>
  <c r="G58" i="7" s="1"/>
  <c r="E42" i="7"/>
  <c r="G42" i="7" s="1"/>
  <c r="E136" i="7"/>
  <c r="G136" i="7" s="1"/>
  <c r="E180" i="7"/>
  <c r="G180" i="7" s="1"/>
  <c r="E141" i="7"/>
  <c r="G141" i="7" s="1"/>
  <c r="E50" i="7"/>
  <c r="G50" i="7" s="1"/>
  <c r="E83" i="7"/>
  <c r="G83" i="7" s="1"/>
  <c r="E64" i="7"/>
  <c r="G64" i="7" s="1"/>
  <c r="E108" i="7"/>
  <c r="G108" i="7" s="1"/>
  <c r="E201" i="7"/>
  <c r="G201" i="7" s="1"/>
  <c r="E47" i="7"/>
  <c r="G47" i="7" s="1"/>
  <c r="E176" i="7"/>
  <c r="G176" i="7" s="1"/>
  <c r="E32" i="7"/>
  <c r="G32" i="7" s="1"/>
  <c r="E68" i="7"/>
  <c r="G68" i="7" s="1"/>
  <c r="E105" i="7"/>
  <c r="G105" i="7" s="1"/>
  <c r="E143" i="7"/>
  <c r="G143" i="7" s="1"/>
  <c r="E80" i="7"/>
  <c r="G80" i="7" s="1"/>
  <c r="E71" i="7"/>
  <c r="G71" i="7" s="1"/>
  <c r="E85" i="7"/>
  <c r="G85" i="7" s="1"/>
  <c r="E131" i="7"/>
  <c r="G131" i="7" s="1"/>
  <c r="E76" i="7"/>
  <c r="G76" i="7" s="1"/>
  <c r="E186" i="7"/>
  <c r="G186" i="7" s="1"/>
  <c r="E91" i="7"/>
  <c r="G91" i="7" s="1"/>
  <c r="E129" i="7"/>
  <c r="G129" i="7" s="1"/>
  <c r="E74" i="7"/>
  <c r="G74" i="7" s="1"/>
  <c r="E69" i="7"/>
  <c r="G69" i="7" s="1"/>
  <c r="E81" i="7"/>
  <c r="G81" i="7" s="1"/>
  <c r="E55" i="7"/>
  <c r="G55" i="7" s="1"/>
  <c r="E196" i="7"/>
  <c r="G196" i="7" s="1"/>
  <c r="G24" i="7"/>
  <c r="E152" i="7"/>
  <c r="G152" i="7" s="1"/>
  <c r="E79" i="7"/>
  <c r="G79" i="7" s="1"/>
  <c r="E133" i="7"/>
  <c r="G133" i="7" s="1"/>
  <c r="E119" i="7"/>
  <c r="G119" i="7" s="1"/>
  <c r="E189" i="7"/>
  <c r="G189" i="7" s="1"/>
  <c r="E116" i="7"/>
  <c r="G116" i="7" s="1"/>
  <c r="E30" i="7"/>
  <c r="G30" i="7" s="1"/>
  <c r="E158" i="7"/>
  <c r="G158" i="7" s="1"/>
  <c r="E138" i="7"/>
  <c r="G138" i="7" s="1"/>
  <c r="E100" i="7"/>
  <c r="G100" i="7" s="1"/>
  <c r="E21" i="7"/>
  <c r="E101" i="7"/>
  <c r="G101" i="7" s="1"/>
  <c r="E147" i="7"/>
  <c r="G147" i="7" s="1"/>
  <c r="E92" i="7"/>
  <c r="G92" i="7" s="1"/>
  <c r="E221" i="7"/>
  <c r="G221" i="7" s="1"/>
  <c r="E31" i="7"/>
  <c r="G31" i="7" s="1"/>
  <c r="E190" i="7"/>
  <c r="G190" i="7" s="1"/>
  <c r="E167" i="7"/>
  <c r="G167" i="7" s="1"/>
  <c r="E86" i="7"/>
  <c r="G86" i="7" s="1"/>
  <c r="E134" i="7"/>
  <c r="G134" i="7" s="1"/>
  <c r="E22" i="7"/>
  <c r="G22" i="7" s="1"/>
  <c r="E150" i="7"/>
  <c r="G150" i="7" s="1"/>
  <c r="E46" i="7"/>
  <c r="G46" i="7" s="1"/>
  <c r="E198" i="7"/>
  <c r="G198" i="7" s="1"/>
  <c r="E57" i="7"/>
  <c r="G57" i="7" s="1"/>
  <c r="E182" i="7"/>
  <c r="G182" i="7" s="1"/>
  <c r="E203" i="7"/>
  <c r="G203" i="7" s="1"/>
  <c r="E123" i="7"/>
  <c r="G123" i="7" s="1"/>
  <c r="E52" i="7"/>
  <c r="G52" i="7" s="1"/>
  <c r="E43" i="7"/>
  <c r="G43" i="7" s="1"/>
  <c r="E89" i="7"/>
  <c r="G89" i="7" s="1"/>
  <c r="E63" i="7"/>
  <c r="G63" i="7" s="1"/>
  <c r="E155" i="7"/>
  <c r="G155" i="7" s="1"/>
  <c r="E159" i="7"/>
  <c r="G159" i="7" s="1"/>
  <c r="E215" i="7"/>
  <c r="G215" i="7" s="1"/>
  <c r="E112" i="7"/>
  <c r="G112" i="7" s="1"/>
  <c r="E171" i="7"/>
  <c r="G171" i="7" s="1"/>
  <c r="E73" i="7"/>
  <c r="G73" i="7" s="1"/>
  <c r="E157" i="7"/>
  <c r="G157" i="7" s="1"/>
  <c r="E162" i="7"/>
  <c r="G162" i="7" s="1"/>
  <c r="E23" i="7"/>
  <c r="G23" i="7" s="1"/>
  <c r="E62" i="7"/>
  <c r="G62" i="7" s="1"/>
  <c r="E187" i="7"/>
  <c r="G187" i="7" s="1"/>
  <c r="E102" i="7"/>
  <c r="G102" i="7" s="1"/>
  <c r="E60" i="7"/>
  <c r="G60" i="7" s="1"/>
  <c r="E127" i="7"/>
  <c r="G127" i="7" s="1"/>
  <c r="E208" i="7"/>
  <c r="G208" i="7" s="1"/>
  <c r="E45" i="7"/>
  <c r="G45" i="7" s="1"/>
  <c r="E174" i="7"/>
  <c r="G174" i="7" s="1"/>
  <c r="E95" i="7"/>
  <c r="G95" i="7" s="1"/>
  <c r="E160" i="7"/>
  <c r="G160" i="7" s="1"/>
  <c r="G21" i="7" l="1"/>
  <c r="G25" i="7" s="1"/>
  <c r="E25" i="7"/>
  <c r="E222" i="7"/>
  <c r="G222" i="7"/>
  <c r="E223" i="7" l="1"/>
  <c r="E16" i="9"/>
  <c r="G16" i="9" s="1"/>
  <c r="E12" i="9"/>
  <c r="G12" i="9" s="1"/>
  <c r="G10" i="9"/>
  <c r="G13" i="9"/>
  <c r="G30" i="9"/>
  <c r="E18" i="9"/>
  <c r="G18" i="9" s="1"/>
  <c r="E20" i="9"/>
  <c r="G20" i="9" s="1"/>
  <c r="E15" i="9"/>
  <c r="G15" i="9" s="1"/>
  <c r="E31" i="9"/>
  <c r="G31" i="9" s="1"/>
  <c r="E21" i="9"/>
  <c r="G21" i="9" s="1"/>
  <c r="G14" i="9"/>
  <c r="E17" i="9"/>
  <c r="G17" i="9" s="1"/>
  <c r="E32" i="9"/>
  <c r="G32" i="9" s="1"/>
  <c r="E11" i="9"/>
  <c r="E151" i="8"/>
  <c r="G151" i="8" s="1"/>
  <c r="E237" i="8"/>
  <c r="G237" i="8" s="1"/>
  <c r="E201" i="8"/>
  <c r="G201" i="8" s="1"/>
  <c r="E186" i="8"/>
  <c r="G186" i="8" s="1"/>
  <c r="E28" i="8"/>
  <c r="G28" i="8" s="1"/>
  <c r="E215" i="8"/>
  <c r="G215" i="8" s="1"/>
  <c r="E167" i="8"/>
  <c r="G167" i="8" s="1"/>
  <c r="E227" i="8"/>
  <c r="G227" i="8" s="1"/>
  <c r="E66" i="8"/>
  <c r="G66" i="8" s="1"/>
  <c r="E93" i="8"/>
  <c r="G93" i="8" s="1"/>
  <c r="E221" i="8"/>
  <c r="G221" i="8" s="1"/>
  <c r="E170" i="8"/>
  <c r="G170" i="8" s="1"/>
  <c r="E32" i="8"/>
  <c r="G32" i="8" s="1"/>
  <c r="E18" i="8"/>
  <c r="G18" i="8" s="1"/>
  <c r="E185" i="8"/>
  <c r="G185" i="8" s="1"/>
  <c r="E199" i="8"/>
  <c r="G199" i="8" s="1"/>
  <c r="E166" i="8"/>
  <c r="G166" i="8" s="1"/>
  <c r="E198" i="8"/>
  <c r="G198" i="8" s="1"/>
  <c r="E164" i="8"/>
  <c r="G164" i="8" s="1"/>
  <c r="E81" i="8"/>
  <c r="G81" i="8" s="1"/>
  <c r="E209" i="8"/>
  <c r="G209" i="8" s="1"/>
  <c r="E33" i="8"/>
  <c r="G33" i="8" s="1"/>
  <c r="E187" i="8"/>
  <c r="G187" i="8" s="1"/>
  <c r="E120" i="8"/>
  <c r="G120" i="8" s="1"/>
  <c r="E70" i="8"/>
  <c r="G70" i="8" s="1"/>
  <c r="G17" i="8"/>
  <c r="E207" i="8"/>
  <c r="G207" i="8" s="1"/>
  <c r="E211" i="8"/>
  <c r="G211" i="8" s="1"/>
  <c r="E131" i="8"/>
  <c r="G131" i="8" s="1"/>
  <c r="G43" i="8"/>
  <c r="E67" i="8"/>
  <c r="G67" i="8" s="1"/>
  <c r="E38" i="8"/>
  <c r="G38" i="8" s="1"/>
  <c r="E193" i="8"/>
  <c r="G193" i="8" s="1"/>
  <c r="E128" i="8"/>
  <c r="G128" i="8" s="1"/>
  <c r="E188" i="8"/>
  <c r="G188" i="8" s="1"/>
  <c r="E144" i="8"/>
  <c r="G144" i="8" s="1"/>
  <c r="E137" i="8"/>
  <c r="G137" i="8" s="1"/>
  <c r="E29" i="8"/>
  <c r="G29" i="8" s="1"/>
  <c r="E147" i="8"/>
  <c r="G147" i="8" s="1"/>
  <c r="E84" i="8"/>
  <c r="G84" i="8" s="1"/>
  <c r="E148" i="8"/>
  <c r="G148" i="8" s="1"/>
  <c r="E58" i="8"/>
  <c r="G58" i="8" s="1"/>
  <c r="E71" i="8"/>
  <c r="G71" i="8" s="1"/>
  <c r="E143" i="8"/>
  <c r="G143" i="8" s="1"/>
  <c r="E52" i="8"/>
  <c r="G52" i="8" s="1"/>
  <c r="E86" i="8"/>
  <c r="G86" i="8" s="1"/>
  <c r="E219" i="8"/>
  <c r="G219" i="8" s="1"/>
  <c r="E160" i="8"/>
  <c r="G160" i="8" s="1"/>
  <c r="E106" i="8"/>
  <c r="G106" i="8" s="1"/>
  <c r="E78" i="8"/>
  <c r="G78" i="8" s="1"/>
  <c r="E55" i="8"/>
  <c r="G55" i="8" s="1"/>
  <c r="E37" i="8"/>
  <c r="E77" i="8"/>
  <c r="G77" i="8" s="1"/>
  <c r="E155" i="8"/>
  <c r="G155" i="8" s="1"/>
  <c r="E136" i="8"/>
  <c r="G136" i="8" s="1"/>
  <c r="E225" i="8"/>
  <c r="G225" i="8" s="1"/>
  <c r="E216" i="8"/>
  <c r="G216" i="8" s="1"/>
  <c r="E169" i="8"/>
  <c r="G169" i="8" s="1"/>
  <c r="E109" i="8"/>
  <c r="G109" i="8" s="1"/>
  <c r="E62" i="8"/>
  <c r="G62" i="8" s="1"/>
  <c r="E214" i="8"/>
  <c r="G214" i="8" s="1"/>
  <c r="E179" i="8"/>
  <c r="G179" i="8" s="1"/>
  <c r="E168" i="8"/>
  <c r="G168" i="8" s="1"/>
  <c r="E172" i="8"/>
  <c r="G172" i="8" s="1"/>
  <c r="E99" i="8"/>
  <c r="G99" i="8" s="1"/>
  <c r="G96" i="8"/>
  <c r="E208" i="8"/>
  <c r="G208" i="8" s="1"/>
  <c r="E63" i="8"/>
  <c r="G63" i="8" s="1"/>
  <c r="E125" i="8"/>
  <c r="G125" i="8" s="1"/>
  <c r="E22" i="8"/>
  <c r="G22" i="8" s="1"/>
  <c r="E158" i="8"/>
  <c r="G158" i="8" s="1"/>
  <c r="E54" i="8"/>
  <c r="G54" i="8" s="1"/>
  <c r="E101" i="8"/>
  <c r="G101" i="8" s="1"/>
  <c r="E196" i="8"/>
  <c r="G196" i="8" s="1"/>
  <c r="E110" i="8"/>
  <c r="G110" i="8" s="1"/>
  <c r="E40" i="8"/>
  <c r="G40" i="8" s="1"/>
  <c r="E171" i="8"/>
  <c r="G171" i="8" s="1"/>
  <c r="E222" i="8"/>
  <c r="G222" i="8" s="1"/>
  <c r="E139" i="8"/>
  <c r="G139" i="8" s="1"/>
  <c r="E80" i="8"/>
  <c r="G80" i="8" s="1"/>
  <c r="E59" i="8"/>
  <c r="G59" i="8" s="1"/>
  <c r="E173" i="8"/>
  <c r="G173" i="8" s="1"/>
  <c r="E21" i="8"/>
  <c r="G21" i="8" s="1"/>
  <c r="E230" i="8"/>
  <c r="G230" i="8" s="1"/>
  <c r="E111" i="8"/>
  <c r="G111" i="8" s="1"/>
  <c r="E104" i="8"/>
  <c r="G104" i="8" s="1"/>
  <c r="E178" i="8"/>
  <c r="G178" i="8" s="1"/>
  <c r="E25" i="8"/>
  <c r="G25" i="8" s="1"/>
  <c r="E53" i="8"/>
  <c r="G53" i="8" s="1"/>
  <c r="E105" i="8"/>
  <c r="G105" i="8" s="1"/>
  <c r="E118" i="8"/>
  <c r="G118" i="8" s="1"/>
  <c r="E126" i="8"/>
  <c r="G126" i="8" s="1"/>
  <c r="E116" i="8"/>
  <c r="G116" i="8" s="1"/>
  <c r="E156" i="8"/>
  <c r="G156" i="8" s="1"/>
  <c r="E27" i="8"/>
  <c r="G27" i="8" s="1"/>
  <c r="E141" i="8"/>
  <c r="G141" i="8" s="1"/>
  <c r="E85" i="8"/>
  <c r="G85" i="8" s="1"/>
  <c r="E195" i="8"/>
  <c r="G195" i="8" s="1"/>
  <c r="E157" i="8"/>
  <c r="G157" i="8" s="1"/>
  <c r="E149" i="8"/>
  <c r="G149" i="8" s="1"/>
  <c r="E72" i="8"/>
  <c r="G72" i="8" s="1"/>
  <c r="E177" i="8"/>
  <c r="G177" i="8" s="1"/>
  <c r="E73" i="8"/>
  <c r="G73" i="8" s="1"/>
  <c r="E113" i="8"/>
  <c r="G113" i="8" s="1"/>
  <c r="E232" i="8"/>
  <c r="G232" i="8" s="1"/>
  <c r="E220" i="8"/>
  <c r="G220" i="8" s="1"/>
  <c r="E189" i="8"/>
  <c r="G189" i="8" s="1"/>
  <c r="E121" i="8"/>
  <c r="G121" i="8" s="1"/>
  <c r="E234" i="8"/>
  <c r="G234" i="8" s="1"/>
  <c r="E90" i="8"/>
  <c r="G90" i="8" s="1"/>
  <c r="E204" i="8"/>
  <c r="G204" i="8" s="1"/>
  <c r="E226" i="8"/>
  <c r="G226" i="8" s="1"/>
  <c r="E130" i="8"/>
  <c r="G130" i="8" s="1"/>
  <c r="E146" i="8"/>
  <c r="G146" i="8" s="1"/>
  <c r="E194" i="8"/>
  <c r="G194" i="8" s="1"/>
  <c r="E163" i="8"/>
  <c r="G163" i="8" s="1"/>
  <c r="E97" i="8"/>
  <c r="G97" i="8" s="1"/>
  <c r="E49" i="8"/>
  <c r="G49" i="8" s="1"/>
  <c r="E92" i="8"/>
  <c r="G92" i="8" s="1"/>
  <c r="E20" i="8"/>
  <c r="G20" i="8" s="1"/>
  <c r="E205" i="8"/>
  <c r="G205" i="8" s="1"/>
  <c r="E127" i="8"/>
  <c r="G127" i="8" s="1"/>
  <c r="E79" i="8"/>
  <c r="G79" i="8" s="1"/>
  <c r="E122" i="8"/>
  <c r="G122" i="8" s="1"/>
  <c r="E235" i="8"/>
  <c r="G235" i="8" s="1"/>
  <c r="E203" i="8"/>
  <c r="G203" i="8" s="1"/>
  <c r="E132" i="8"/>
  <c r="G132" i="8" s="1"/>
  <c r="E82" i="8"/>
  <c r="G82" i="8" s="1"/>
  <c r="E159" i="8"/>
  <c r="G159" i="8" s="1"/>
  <c r="E133" i="8"/>
  <c r="G133" i="8" s="1"/>
  <c r="G42" i="8"/>
  <c r="E236" i="8"/>
  <c r="G236" i="8" s="1"/>
  <c r="E61" i="8"/>
  <c r="G61" i="8" s="1"/>
  <c r="E154" i="8"/>
  <c r="G154" i="8" s="1"/>
  <c r="E123" i="8"/>
  <c r="G123" i="8" s="1"/>
  <c r="E57" i="8"/>
  <c r="G57" i="8" s="1"/>
  <c r="E114" i="8"/>
  <c r="G114" i="8" s="1"/>
  <c r="E23" i="8"/>
  <c r="G23" i="8" s="1"/>
  <c r="E206" i="8"/>
  <c r="G206" i="8" s="1"/>
  <c r="E202" i="8"/>
  <c r="G202" i="8" s="1"/>
  <c r="E108" i="8"/>
  <c r="G108" i="8" s="1"/>
  <c r="E76" i="8"/>
  <c r="G76" i="8" s="1"/>
  <c r="E135" i="8"/>
  <c r="G135" i="8" s="1"/>
  <c r="E129" i="8"/>
  <c r="G129" i="8" s="1"/>
  <c r="G94" i="8"/>
  <c r="E191" i="8"/>
  <c r="G191" i="8" s="1"/>
  <c r="E150" i="8"/>
  <c r="G150" i="8" s="1"/>
  <c r="E100" i="8"/>
  <c r="G100" i="8" s="1"/>
  <c r="E153" i="8"/>
  <c r="G153" i="8" s="1"/>
  <c r="E115" i="8"/>
  <c r="G115" i="8" s="1"/>
  <c r="E231" i="8"/>
  <c r="G231" i="8" s="1"/>
  <c r="E162" i="8"/>
  <c r="G162" i="8" s="1"/>
  <c r="E134" i="8"/>
  <c r="G134" i="8" s="1"/>
  <c r="E165" i="8"/>
  <c r="G165" i="8" s="1"/>
  <c r="E224" i="8"/>
  <c r="G224" i="8" s="1"/>
  <c r="E180" i="8"/>
  <c r="G180" i="8" s="1"/>
  <c r="E34" i="8"/>
  <c r="G34" i="8" s="1"/>
  <c r="E56" i="8"/>
  <c r="G56" i="8" s="1"/>
  <c r="E30" i="8"/>
  <c r="G30" i="8" s="1"/>
  <c r="E175" i="8"/>
  <c r="G175" i="8" s="1"/>
  <c r="E68" i="8"/>
  <c r="G68" i="8" s="1"/>
  <c r="E210" i="8"/>
  <c r="G210" i="8" s="1"/>
  <c r="E69" i="8"/>
  <c r="G69" i="8" s="1"/>
  <c r="E48" i="8"/>
  <c r="G48" i="8" s="1"/>
  <c r="E184" i="8"/>
  <c r="G184" i="8" s="1"/>
  <c r="E39" i="8"/>
  <c r="G39" i="8" s="1"/>
  <c r="E60" i="8"/>
  <c r="G60" i="8" s="1"/>
  <c r="E65" i="8"/>
  <c r="G65" i="8" s="1"/>
  <c r="E176" i="8"/>
  <c r="G176" i="8" s="1"/>
  <c r="E107" i="8"/>
  <c r="G107" i="8" s="1"/>
  <c r="E31" i="8"/>
  <c r="G31" i="8" s="1"/>
  <c r="E218" i="8"/>
  <c r="G218" i="8" s="1"/>
  <c r="E119" i="8"/>
  <c r="G119" i="8" s="1"/>
  <c r="E197" i="8"/>
  <c r="G197" i="8" s="1"/>
  <c r="E233" i="8"/>
  <c r="G233" i="8" s="1"/>
  <c r="E51" i="8"/>
  <c r="G51" i="8" s="1"/>
  <c r="E192" i="8"/>
  <c r="G192" i="8" s="1"/>
  <c r="E212" i="8"/>
  <c r="G212" i="8" s="1"/>
  <c r="E181" i="8"/>
  <c r="G181" i="8" s="1"/>
  <c r="E102" i="8"/>
  <c r="G102" i="8" s="1"/>
  <c r="E182" i="8"/>
  <c r="G182" i="8" s="1"/>
  <c r="E142" i="8"/>
  <c r="G142" i="8" s="1"/>
  <c r="E217" i="8"/>
  <c r="G217" i="8" s="1"/>
  <c r="E229" i="8"/>
  <c r="G229" i="8" s="1"/>
  <c r="E112" i="8"/>
  <c r="G112" i="8" s="1"/>
  <c r="E87" i="8"/>
  <c r="G87" i="8" s="1"/>
  <c r="E213" i="8"/>
  <c r="G213" i="8" s="1"/>
  <c r="E91" i="8"/>
  <c r="G91" i="8" s="1"/>
  <c r="E50" i="8"/>
  <c r="G50" i="8" s="1"/>
  <c r="E140" i="8"/>
  <c r="G140" i="8" s="1"/>
  <c r="G45" i="8"/>
  <c r="E35" i="8"/>
  <c r="G35" i="8" s="1"/>
  <c r="E228" i="8"/>
  <c r="G228" i="8" s="1"/>
  <c r="E161" i="8"/>
  <c r="G161" i="8" s="1"/>
  <c r="E174" i="8"/>
  <c r="G174" i="8" s="1"/>
  <c r="E26" i="8"/>
  <c r="G26" i="8" s="1"/>
  <c r="E74" i="8"/>
  <c r="G74" i="8" s="1"/>
  <c r="E152" i="8"/>
  <c r="G152" i="8" s="1"/>
  <c r="E223" i="8"/>
  <c r="G223" i="8" s="1"/>
  <c r="E145" i="8"/>
  <c r="G145" i="8" s="1"/>
  <c r="E190" i="8"/>
  <c r="G190" i="8" s="1"/>
  <c r="E98" i="8"/>
  <c r="G98" i="8" s="1"/>
  <c r="E83" i="8"/>
  <c r="G83" i="8" s="1"/>
  <c r="E138" i="8"/>
  <c r="G138" i="8" s="1"/>
  <c r="E183" i="8"/>
  <c r="G183" i="8" s="1"/>
  <c r="E24" i="8"/>
  <c r="G24" i="8" s="1"/>
  <c r="E103" i="8"/>
  <c r="G103" i="8" s="1"/>
  <c r="E124" i="8"/>
  <c r="G124" i="8" s="1"/>
  <c r="E19" i="8"/>
  <c r="G19" i="8" s="1"/>
  <c r="E89" i="8"/>
  <c r="G89" i="8" s="1"/>
  <c r="E88" i="8"/>
  <c r="G88" i="8" s="1"/>
  <c r="E117" i="8"/>
  <c r="G117" i="8" s="1"/>
  <c r="E64" i="8"/>
  <c r="G64" i="8" s="1"/>
  <c r="E75" i="8"/>
  <c r="G75" i="8" s="1"/>
  <c r="E200" i="8"/>
  <c r="G200" i="8" s="1"/>
  <c r="E44" i="8"/>
  <c r="G44" i="8" s="1"/>
  <c r="E33" i="9"/>
  <c r="G33" i="9" s="1"/>
  <c r="G223" i="7"/>
  <c r="E27" i="9"/>
  <c r="E19" i="9"/>
  <c r="E28" i="9" l="1"/>
  <c r="G37" i="8"/>
  <c r="G46" i="8" s="1"/>
  <c r="E46" i="8"/>
  <c r="G11" i="9"/>
  <c r="G19" i="9"/>
  <c r="G238" i="8"/>
  <c r="E238" i="8"/>
  <c r="G36" i="8"/>
  <c r="E36" i="8"/>
  <c r="G34" i="9"/>
  <c r="E34" i="9"/>
  <c r="E35" i="9" l="1"/>
  <c r="G28" i="9"/>
  <c r="G35" i="9" s="1"/>
  <c r="E239" i="8"/>
  <c r="G239" i="8"/>
  <c r="G6" i="11" l="1"/>
  <c r="H6" i="11" s="1"/>
  <c r="E11" i="11"/>
  <c r="D11" i="11"/>
  <c r="G11" i="11" l="1"/>
  <c r="H11" i="11" s="1"/>
  <c r="G118" i="2" l="1"/>
  <c r="F10" i="13" s="1"/>
  <c r="F118" i="2" l="1"/>
  <c r="J6" i="18" s="1"/>
  <c r="J9" i="18" s="1"/>
  <c r="J10" i="18" s="1"/>
  <c r="J11" i="18" s="1"/>
  <c r="F10" i="18"/>
  <c r="H17" i="12" l="1"/>
  <c r="H20" i="12" s="1"/>
  <c r="E10" i="18" s="1"/>
  <c r="H22" i="12" l="1"/>
  <c r="G10" i="18" s="1"/>
</calcChain>
</file>

<file path=xl/comments1.xml><?xml version="1.0" encoding="utf-8"?>
<comments xmlns="http://schemas.openxmlformats.org/spreadsheetml/2006/main">
  <authors>
    <author>HP</author>
  </authors>
  <commentList>
    <comment ref="F10" authorId="0" guid="{437DA12D-FB44-4E19-BFEA-51673BF3B06E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02.23-02.24=7195/12=599,583
кВт
</t>
        </r>
      </text>
    </comment>
    <comment ref="C20" authorId="0" guid="{6C1943B2-B494-4E2D-9219-03010F14FFCA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замена 01.03.2021г.
</t>
        </r>
      </text>
    </comment>
    <comment ref="F107" authorId="0" guid="{775F8D37-A6BD-484B-A9DA-89D5B61C072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март 20</t>
        </r>
      </text>
    </comment>
    <comment ref="G107" authorId="0" guid="{84E89638-1BF3-4E5C-BA6C-04DF56FEE17F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11055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F28" authorId="0" guid="{A72B2FDA-7C4D-4285-B5E2-2A5C2CD514C3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20+80+85+185+195+220=785/6=131 кВт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F35" authorId="0" guid="{934B7664-C979-4F7D-B20D-E6ED57BDA2FB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5+40+40+20+30+45=180/6=30 кВт среднемесячное показание
</t>
        </r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11.2023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F59" authorId="0" guid="{350ED309-6141-4267-90E3-DBE2F8EA2DA3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35+60+75+140+155+110=575/6=96 кВт среднемесячное значение
</t>
        </r>
      </text>
    </comment>
    <comment ref="F60" authorId="0" guid="{BEC986C2-9711-4357-BDA5-1E94CB47A2D8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135+180+165+190+200+185=1055/6=176 среднемесячное значение
</t>
        </r>
      </text>
    </comment>
    <comment ref="F74" authorId="0" guid="{2FDBF6F7-7DA8-4D6C-9DB1-F7432DA36FB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01.09.20
(260+187+306+306+285+250)/6=</t>
        </r>
        <r>
          <rPr>
            <b/>
            <sz val="9"/>
            <color indexed="81"/>
            <rFont val="Tahoma"/>
            <family val="2"/>
            <charset val="204"/>
          </rPr>
          <t>266</t>
        </r>
        <r>
          <rPr>
            <sz val="9"/>
            <color indexed="81"/>
            <rFont val="Tahoma"/>
            <family val="2"/>
            <charset val="204"/>
          </rPr>
          <t xml:space="preserve"> среднемесячное 
авг,сент,окт,нояб. было выставлено 0+192*3 = </t>
        </r>
        <r>
          <rPr>
            <b/>
            <sz val="9"/>
            <color indexed="81"/>
            <rFont val="Tahoma"/>
            <family val="2"/>
            <charset val="204"/>
          </rPr>
          <t>576</t>
        </r>
        <r>
          <rPr>
            <sz val="9"/>
            <color indexed="81"/>
            <rFont val="Tahoma"/>
            <family val="2"/>
            <charset val="204"/>
          </rPr>
          <t xml:space="preserve">
доставить за авг,сент,окт,нояб. = (265*4)-576 = </t>
        </r>
        <r>
          <rPr>
            <b/>
            <sz val="9"/>
            <color indexed="81"/>
            <rFont val="Tahoma"/>
            <family val="2"/>
            <charset val="204"/>
          </rPr>
          <t>484</t>
        </r>
        <r>
          <rPr>
            <sz val="9"/>
            <color indexed="81"/>
            <rFont val="Tahoma"/>
            <family val="2"/>
            <charset val="204"/>
          </rPr>
          <t xml:space="preserve">
перерасчет за 01.09. по 04.21, за дек,янв,февр,март выставлен норматив + повышающ. коэфиц. (345+172,5)*4+576= 2646-(266*9)= </t>
        </r>
        <r>
          <rPr>
            <b/>
            <sz val="9"/>
            <color indexed="81"/>
            <rFont val="Tahoma"/>
            <family val="2"/>
            <charset val="204"/>
          </rPr>
          <t>-261 кВт</t>
        </r>
      </text>
    </comment>
    <comment ref="G112" authorId="0" guid="{48941F0A-0AE2-4644-88C2-03366F7131C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34475
</t>
        </r>
      </text>
    </comment>
    <comment ref="F121" authorId="0" guid="{8EE04F99-3CFA-4FA0-A659-80A8133EFE4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185+165+225+145+300+220=1240/6=207 кВт среднемесячное значение
</t>
        </r>
      </text>
    </comment>
    <comment ref="F149" authorId="0" guid="{D821A62E-C56A-4639-BEA1-F72E160209C4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80+90+120+85+95+105=575/6=96 кВт среднемесячное показание
</t>
        </r>
      </text>
    </comment>
    <comment ref="F150" authorId="0" guid="{16763613-C306-47FA-9FD2-02DE433695A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01.01.2024
20+45+45+95+150+105=460/6=77 кВт
среднемесячное показание
</t>
        </r>
      </text>
    </comment>
    <comment ref="F200" authorId="0" guid="{CC7BEA03-7585-436F-BF1C-365125EB1ED6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01.02.24 с 05.23 по 12.22, после 0
40+165+205+270+370+245=1295/6=</t>
        </r>
        <r>
          <rPr>
            <b/>
            <sz val="9"/>
            <color indexed="81"/>
            <rFont val="Tahoma"/>
            <family val="2"/>
            <charset val="204"/>
          </rPr>
          <t xml:space="preserve">216кВт </t>
        </r>
        <r>
          <rPr>
            <sz val="9"/>
            <color indexed="81"/>
            <rFont val="Tahoma"/>
            <family val="2"/>
            <charset val="204"/>
          </rPr>
          <t xml:space="preserve">среднемясячное значение
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D69" authorId="0" guid="{A7E301EE-4091-4034-B058-5A020C9826A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
</t>
        </r>
      </text>
    </comment>
    <comment ref="E69" authorId="0" guid="{12E5BABF-ABC2-4BB2-8B67-2FA06BE71771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</t>
        </r>
      </text>
    </comment>
  </commentList>
</comments>
</file>

<file path=xl/comments6.xml><?xml version="1.0" encoding="utf-8"?>
<comments xmlns="http://schemas.openxmlformats.org/spreadsheetml/2006/main">
  <authors>
    <author>HP</author>
  </authors>
  <commentList>
    <comment ref="F13" authorId="0" guid="{DE54344D-B1CB-4D73-A977-0279D02B836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ср. мес. значение 100 кВт
</t>
        </r>
      </text>
    </comment>
  </commentList>
</comments>
</file>

<file path=xl/comments7.xml><?xml version="1.0" encoding="utf-8"?>
<comments xmlns="http://schemas.openxmlformats.org/spreadsheetml/2006/main">
  <authors>
    <author>Бухгалтер</author>
  </authors>
  <commentList>
    <comment ref="C4" authorId="0" guid="{324A92C6-35A9-4E51-A204-0FE8E0E52F35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16" authorId="0" guid="{64D596FC-5AA8-4452-801C-A361DDA9217C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28" authorId="0" guid="{ECF232E3-6D5A-4739-BC76-53447C4C94E0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comments8.xml><?xml version="1.0" encoding="utf-8"?>
<comments xmlns="http://schemas.openxmlformats.org/spreadsheetml/2006/main">
  <authors>
    <author>Бухгалтер</author>
  </authors>
  <commentList>
    <comment ref="C4" authorId="0" guid="{B8B466D0-BB56-4847-A69F-D73573D3EB86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sharedStrings.xml><?xml version="1.0" encoding="utf-8"?>
<sst xmlns="http://schemas.openxmlformats.org/spreadsheetml/2006/main" count="2412" uniqueCount="2039">
  <si>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</si>
  <si>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</si>
  <si>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</si>
  <si>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</si>
  <si>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</si>
  <si>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</si>
  <si>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</si>
  <si>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</si>
  <si>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</si>
  <si>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</si>
  <si>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</si>
  <si>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</si>
  <si>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</si>
  <si>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</si>
  <si>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</si>
  <si>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</si>
  <si>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</si>
  <si>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</si>
  <si>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</si>
  <si>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</si>
  <si>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</si>
  <si>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</si>
  <si>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</si>
  <si>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</si>
  <si>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Наименование помещения</t>
  </si>
  <si>
    <t>МОП кВт</t>
  </si>
  <si>
    <t>Площадь, кв.м.</t>
  </si>
  <si>
    <t xml:space="preserve">Нежилые помещения </t>
  </si>
  <si>
    <t>Корпус 2</t>
  </si>
  <si>
    <t>01/с.1-Ф     эт.1/дв.10</t>
  </si>
  <si>
    <t xml:space="preserve">Бурдина Ольга Раф.                          8-915-221-32-52    </t>
  </si>
  <si>
    <t>02/с.1/2-Ф      эт.1/дв.8</t>
  </si>
  <si>
    <t>Березовская Д.В.                  8-916-263-34-32                  д.т. 570-60-59</t>
  </si>
  <si>
    <t>03/с.2-Ф      эт.1/дв.5</t>
  </si>
  <si>
    <t>Литвак Г.А.                               8-910-409-71-20                        573-09-50</t>
  </si>
  <si>
    <t>04/с.1-Г                 эт.2/дв.23</t>
  </si>
  <si>
    <t>Юрова Л.П.                                   573-41-00</t>
  </si>
  <si>
    <t>05/с.2-Ф  эт.2/дв.24</t>
  </si>
  <si>
    <t>Ходыкина Г.И.                      796-50-79</t>
  </si>
  <si>
    <t>06/с.2-Ф                  эт.2/дв.3</t>
  </si>
  <si>
    <t>Дробенко В.П.                                         8-916-343-59-03</t>
  </si>
  <si>
    <t>07/с.3-Г                   эт.2/дв.0-3</t>
  </si>
  <si>
    <t>Минстрой Станислав                       8 903 773 51 01</t>
  </si>
  <si>
    <t>08/с.2-Г                    эт.2/дв.2*</t>
  </si>
  <si>
    <t>Ладонина М.Ф.                                         8-903-111-97-05                   аренда_ 8 903 111 97 05</t>
  </si>
  <si>
    <t>09/с.3-Ф    эт.1/дв.11</t>
  </si>
  <si>
    <t>Сафронова Г.И.                      507-66-64</t>
  </si>
  <si>
    <t>12/с.3-Ф                  эт.2/дв.2</t>
  </si>
  <si>
    <t>Пронина Н.В.                         Олег Валер.   728-01-43</t>
  </si>
  <si>
    <t>13/с.3-Ф   эт.2/дв.1;2</t>
  </si>
  <si>
    <t>Клемешева Л.М.                    8-916-173-83-93</t>
  </si>
  <si>
    <t>18/с.3-Г                      эт.2/дв.4</t>
  </si>
  <si>
    <t>Чепыжова Т.А.                    518-36-88</t>
  </si>
  <si>
    <t>19/с.3-Ф    эт.1/дв.13</t>
  </si>
  <si>
    <t>14/с.4/5-Ф  эт.2/дв.15;22</t>
  </si>
  <si>
    <t>Кочерженко И.С.                   545-28-83</t>
  </si>
  <si>
    <t>15/с.5-Ф  эт.2/дв.21</t>
  </si>
  <si>
    <t xml:space="preserve">Кавыршин С.В.                   494-93-66  </t>
  </si>
  <si>
    <t>16/с.5-Г                      эт.2/дв.1</t>
  </si>
  <si>
    <t>Вьюшин Н.Ю.                         8-903-202-30-24</t>
  </si>
  <si>
    <t>17/с.4-Г                   эт.2/дв.2</t>
  </si>
  <si>
    <t>Сафроненко Б.Б.                    8-903-126-99-87</t>
  </si>
  <si>
    <t>10/с.5-Ф    эт.1/дв.17;18</t>
  </si>
  <si>
    <t xml:space="preserve">Волчихина О.А.                        8-909-901-63-32 </t>
  </si>
  <si>
    <t>11/с.5-Ф   эт.2/дв.26</t>
  </si>
  <si>
    <t>Ганибов Заур                             8-916-200-53-07</t>
  </si>
  <si>
    <t>№ 19 -двор                эл.щит. №2</t>
  </si>
  <si>
    <t xml:space="preserve">№ 20 - с.4-Ф      эт.1/дв 11 </t>
  </si>
  <si>
    <t>№ 21-с.3-Ф    эт.1/дв.13</t>
  </si>
  <si>
    <t>б/н-с.3-Гараж   подвал /дв.1</t>
  </si>
  <si>
    <t>Имамов Марсель                             8 916 167 73 61</t>
  </si>
  <si>
    <t>Корпус 1</t>
  </si>
  <si>
    <t xml:space="preserve">01/Лев.крыло   эт.1/эл.авт. № </t>
  </si>
  <si>
    <t>Долгов Иван Алексеев.  768-58-93</t>
  </si>
  <si>
    <t xml:space="preserve">02/Лев.крыло   эт.1/эл.авт. №1 </t>
  </si>
  <si>
    <t>Корнеев Сергей Виктор.          505-00-08</t>
  </si>
  <si>
    <t xml:space="preserve">03/Лев.крыло   эт.1/эл.авт. № </t>
  </si>
  <si>
    <t>Ширяев Павел Валер.          8-916-193-29-84</t>
  </si>
  <si>
    <t>05/Фасад     эт.1/эл.авт. № 5</t>
  </si>
  <si>
    <t xml:space="preserve">Карпов Сергей Борис.                          999-98-46    </t>
  </si>
  <si>
    <t>06/Фасад     эт.1/эл.авт. № 7</t>
  </si>
  <si>
    <t xml:space="preserve">Урванцева Ирина Анат.                          8-906-734-12-44    </t>
  </si>
  <si>
    <t>Корпус 6</t>
  </si>
  <si>
    <r>
      <t>Этаж 1</t>
    </r>
    <r>
      <rPr>
        <sz val="8"/>
        <rFont val="Arial Cyr"/>
        <charset val="204"/>
      </rPr>
      <t xml:space="preserve"> (к. 1)  лев. Крыло</t>
    </r>
  </si>
  <si>
    <t>ОСАО  "Ресо-Гарантия"    730-30-00 д.4088</t>
  </si>
  <si>
    <t>Этаж 1  (к. 2) прав. крыло</t>
  </si>
  <si>
    <r>
      <t xml:space="preserve">Этаж 2 </t>
    </r>
    <r>
      <rPr>
        <sz val="8"/>
        <rFont val="Arial Cyr"/>
        <charset val="204"/>
      </rPr>
      <t>(к.3,4) лев. крыло</t>
    </r>
  </si>
  <si>
    <t>Этаж 2 (к.5,6)  прав. крыло</t>
  </si>
  <si>
    <r>
      <t>Этаж 3</t>
    </r>
    <r>
      <rPr>
        <sz val="8"/>
        <rFont val="Arial Cyr"/>
        <charset val="204"/>
      </rPr>
      <t xml:space="preserve"> (к.7 налево/слева)</t>
    </r>
  </si>
  <si>
    <t xml:space="preserve">Просторов Александр        797-46-33/34 </t>
  </si>
  <si>
    <t>Этаж 3 (к.8)          налево/справа</t>
  </si>
  <si>
    <t xml:space="preserve">Верницкий Герман               8 910 002 20 02 </t>
  </si>
  <si>
    <t>Этаж 3 (к.9)                  направо/слева</t>
  </si>
  <si>
    <t xml:space="preserve">Скуратовский Р.И. </t>
  </si>
  <si>
    <t>Этаж 3 (к.10)                 направо/справа</t>
  </si>
  <si>
    <t>Марчук Алексей Павл.         580-03-86</t>
  </si>
  <si>
    <r>
      <t xml:space="preserve">Этаж 4 </t>
    </r>
    <r>
      <rPr>
        <sz val="8"/>
        <rFont val="Arial Cyr"/>
        <charset val="204"/>
      </rPr>
      <t xml:space="preserve"> (к.11)          налево/слева</t>
    </r>
  </si>
  <si>
    <t>Этаж 4 (к.12)            налево/справа</t>
  </si>
  <si>
    <t>Гасилов Виктор Роман.                                    8-916-758-72-29</t>
  </si>
  <si>
    <t>Этаж 4 (к.13)         направо/слева</t>
  </si>
  <si>
    <t>Марчук Алексей Павл.           8-903-125-08-11</t>
  </si>
  <si>
    <t>Этаж 4 (к.14 )       направо/справа</t>
  </si>
  <si>
    <t>ТСЖ "Дубки" - гаражи</t>
  </si>
  <si>
    <t>Ворота, будка охраны</t>
  </si>
  <si>
    <t>Корп 4 и 5</t>
  </si>
  <si>
    <t>Возрождение</t>
  </si>
  <si>
    <t>ВСК</t>
  </si>
  <si>
    <t>Копейка</t>
  </si>
  <si>
    <t>Кочерженко</t>
  </si>
  <si>
    <t>Иванов</t>
  </si>
  <si>
    <t>Карташева М.Л.</t>
  </si>
  <si>
    <t>Волович Т.А.</t>
  </si>
  <si>
    <t>Бучарская М.В.</t>
  </si>
  <si>
    <t>Данилова Л.С.</t>
  </si>
  <si>
    <t>Белобородов А.О.</t>
  </si>
  <si>
    <t>Махмудов А.А.</t>
  </si>
  <si>
    <t>Фатуев С.Ю.</t>
  </si>
  <si>
    <t>Мартынова К.В.</t>
  </si>
  <si>
    <t>Джилавян Г.А.</t>
  </si>
  <si>
    <t>Белякова Р.М.</t>
  </si>
  <si>
    <t>Суранов В.С.</t>
  </si>
  <si>
    <t>Трапезникова Т.Л.</t>
  </si>
  <si>
    <t>Штилс Е.В.</t>
  </si>
  <si>
    <t>Герасимова Г.Н.</t>
  </si>
  <si>
    <t>Каменко Д.М.</t>
  </si>
  <si>
    <t>Миронов В.А.</t>
  </si>
  <si>
    <t>Габуния Р.О.</t>
  </si>
  <si>
    <t>Кашник В.</t>
  </si>
  <si>
    <t>Юрченко Н.В.</t>
  </si>
  <si>
    <t>Пудов Ю.А.</t>
  </si>
  <si>
    <t>Политова Л.А.</t>
  </si>
  <si>
    <t>Фатеева Е.П.</t>
  </si>
  <si>
    <t>Безиров А.Б.</t>
  </si>
  <si>
    <t>Журба О.П.</t>
  </si>
  <si>
    <t>Боброва Е.В.</t>
  </si>
  <si>
    <t>Терегулов В.А.</t>
  </si>
  <si>
    <t>Берченко Л.Е.</t>
  </si>
  <si>
    <t>Яблокова Е.К.</t>
  </si>
  <si>
    <t>Андрюшева Ю.В.</t>
  </si>
  <si>
    <t>Шихатова Е.А.</t>
  </si>
  <si>
    <t>Алексеев А.Н.</t>
  </si>
  <si>
    <t>Антосиков С.А.</t>
  </si>
  <si>
    <t>Улановкая В.А.</t>
  </si>
  <si>
    <t>Гзогян Г.С.</t>
  </si>
  <si>
    <t>Веропотвельян М.П.</t>
  </si>
  <si>
    <t xml:space="preserve">Баландин Н.А. </t>
  </si>
  <si>
    <t>Саликова Ю.В.</t>
  </si>
  <si>
    <t>Павлов Н.В.</t>
  </si>
  <si>
    <t>Ипатова И.Ю.</t>
  </si>
  <si>
    <t>Алихманов А.А.</t>
  </si>
  <si>
    <t>Володин Д.Г.</t>
  </si>
  <si>
    <t>Алмурадов А.А.</t>
  </si>
  <si>
    <t>Ашуров Е.Г.</t>
  </si>
  <si>
    <t>Хольнов А.И.</t>
  </si>
  <si>
    <t>Хольнова О.В.</t>
  </si>
  <si>
    <t>Долгушина И.В.</t>
  </si>
  <si>
    <t>Васильева Н.Е.</t>
  </si>
  <si>
    <t>Емуович В.</t>
  </si>
  <si>
    <t>Кинд Е.Ю.</t>
  </si>
  <si>
    <t>Симонян А.П.</t>
  </si>
  <si>
    <t xml:space="preserve">Зарубин Д.С.                 </t>
  </si>
  <si>
    <t>1/53</t>
  </si>
  <si>
    <t>Семенюк В.В.</t>
  </si>
  <si>
    <t>Борисанова В.А.</t>
  </si>
  <si>
    <t>Малышева Е.А.</t>
  </si>
  <si>
    <t>Забродина Л.Ю.</t>
  </si>
  <si>
    <t>Булочников М.Е.</t>
  </si>
  <si>
    <t>Барсегян Н.К.</t>
  </si>
  <si>
    <t>Казакова И.А.</t>
  </si>
  <si>
    <t>Добролович О.В.</t>
  </si>
  <si>
    <t>Уварова И.А.</t>
  </si>
  <si>
    <t>Марусеев С.И.</t>
  </si>
  <si>
    <t>Шушеров О.С.</t>
  </si>
  <si>
    <t>Смирнов М.И.</t>
  </si>
  <si>
    <t>Ивлева О.В.</t>
  </si>
  <si>
    <t>Тарасова Н.Е.</t>
  </si>
  <si>
    <t>Одноверченко Т.А.</t>
  </si>
  <si>
    <t>Булгаков Н.</t>
  </si>
  <si>
    <t>Юдичев И.</t>
  </si>
  <si>
    <t>Черницын В.Н.</t>
  </si>
  <si>
    <t>Триполева Т.Н.</t>
  </si>
  <si>
    <t>Мизинчикова Г.Б.</t>
  </si>
  <si>
    <t>Маметова Т.Р.</t>
  </si>
  <si>
    <t>Тришкина Л.В.</t>
  </si>
  <si>
    <t>Чумак В.Н.</t>
  </si>
  <si>
    <t>Крюков А.Н.</t>
  </si>
  <si>
    <t>Пименов В.И.</t>
  </si>
  <si>
    <t>Джутов А.М.</t>
  </si>
  <si>
    <t>Филатова И.В.</t>
  </si>
  <si>
    <t>Малеев Б.В.</t>
  </si>
  <si>
    <t>Голенцов Б.И.</t>
  </si>
  <si>
    <t>Олефиренко А.Ф.</t>
  </si>
  <si>
    <t>Гонгаров А.А.</t>
  </si>
  <si>
    <t>Демченко И.А.</t>
  </si>
  <si>
    <t>Пашян А.С.</t>
  </si>
  <si>
    <t>Назарова В.Г.</t>
  </si>
  <si>
    <t>Рудных М.Л.</t>
  </si>
  <si>
    <t>Поторока Ю.В.</t>
  </si>
  <si>
    <t>Вилков А.В.</t>
  </si>
  <si>
    <t>Шагинов О.М.</t>
  </si>
  <si>
    <t>Зелепукин И.В.</t>
  </si>
  <si>
    <t>Ревенко М.В.</t>
  </si>
  <si>
    <t>Шабунина Н.И.</t>
  </si>
  <si>
    <t>Иодковская М.П.</t>
  </si>
  <si>
    <t>Соколова С.В.</t>
  </si>
  <si>
    <t>Сабина Д.В.</t>
  </si>
  <si>
    <t>Сумароков М.В.</t>
  </si>
  <si>
    <t>Дашкова Н.А.</t>
  </si>
  <si>
    <t>Куликова З.И.</t>
  </si>
  <si>
    <t>Гусихин А.В.</t>
  </si>
  <si>
    <t>Мерясев С.М.</t>
  </si>
  <si>
    <t>Новиков Н.Н.</t>
  </si>
  <si>
    <t>Коган А.Г.</t>
  </si>
  <si>
    <t>Сарапин П.Е.</t>
  </si>
  <si>
    <t>Дробенко В.П.</t>
  </si>
  <si>
    <t>Мусаев К.А.</t>
  </si>
  <si>
    <t>Воеводин М.А.</t>
  </si>
  <si>
    <t>Чикова О.В.</t>
  </si>
  <si>
    <t>Имамов М.М.</t>
  </si>
  <si>
    <t>Химкинское СМУ</t>
  </si>
  <si>
    <t>Абдрахманов А.Г.</t>
  </si>
  <si>
    <t>Гаспарян Э.Х.</t>
  </si>
  <si>
    <t>Орлова И.В.</t>
  </si>
  <si>
    <t>Померанцев Л.Л.</t>
  </si>
  <si>
    <t>Колесников В.А.</t>
  </si>
  <si>
    <t>Петров Ю.Д.</t>
  </si>
  <si>
    <t>Сивохо Л.Л.</t>
  </si>
  <si>
    <t>Курицына В.А.</t>
  </si>
  <si>
    <t>Вершинин А.В.</t>
  </si>
  <si>
    <t>Техан В.С.</t>
  </si>
  <si>
    <t>Джибути Б.Я.</t>
  </si>
  <si>
    <t>Корнеев С.В.</t>
  </si>
  <si>
    <t>Багапов Р.Г.</t>
  </si>
  <si>
    <t>Солодкина О.В.</t>
  </si>
  <si>
    <t>Карташова И.В.</t>
  </si>
  <si>
    <t>Приспешкин А.В.</t>
  </si>
  <si>
    <t>Клемешева Л.М.</t>
  </si>
  <si>
    <t>Добролович О.Л.</t>
  </si>
  <si>
    <t>Сизикова М.А.</t>
  </si>
  <si>
    <t>Карпушина Т.А.</t>
  </si>
  <si>
    <t>Чиназиров А.А.</t>
  </si>
  <si>
    <t>Борисова Э.В.</t>
  </si>
  <si>
    <t>Малина К.В.</t>
  </si>
  <si>
    <t>Паньшева И.С.</t>
  </si>
  <si>
    <t>Золотарев М.И.</t>
  </si>
  <si>
    <t>Соловьева Е.В.</t>
  </si>
  <si>
    <t>Нестерова Е.В.</t>
  </si>
  <si>
    <t>Велиев М.О.</t>
  </si>
  <si>
    <t>Амбарян А.М.</t>
  </si>
  <si>
    <t>Лисичкина Н.А.</t>
  </si>
  <si>
    <t>Лисичкин В.А.</t>
  </si>
  <si>
    <t>Гаврилова О.М.</t>
  </si>
  <si>
    <t>Аверина Е.В.</t>
  </si>
  <si>
    <t>Сизых С.И.</t>
  </si>
  <si>
    <t>Джерук И.И.</t>
  </si>
  <si>
    <t>Никуленко О.Д.</t>
  </si>
  <si>
    <t>Синицына Е.Н.</t>
  </si>
  <si>
    <t>Мусаева С.К.</t>
  </si>
  <si>
    <t xml:space="preserve">Казанцева </t>
  </si>
  <si>
    <t>Денисов К.В.</t>
  </si>
  <si>
    <t>Щукин В.В.</t>
  </si>
  <si>
    <t>Фандеева Т.А.</t>
  </si>
  <si>
    <t>Тазитдинова Р.Я.</t>
  </si>
  <si>
    <t>Рябова С.М.</t>
  </si>
  <si>
    <t>Игнатов Н.Л.</t>
  </si>
  <si>
    <t>Соколова А.А.</t>
  </si>
  <si>
    <t>Крыхтин В.В.</t>
  </si>
  <si>
    <t>Рагин Э.Э.</t>
  </si>
  <si>
    <t>Лагунова Е.Е.</t>
  </si>
  <si>
    <t>Булатова Л.И.</t>
  </si>
  <si>
    <t>Колобов Д.В.</t>
  </si>
  <si>
    <t>Козлов С.Н.</t>
  </si>
  <si>
    <t>Агапов В.К.</t>
  </si>
  <si>
    <t>Тремасов А.Н.</t>
  </si>
  <si>
    <t>Антонович О.Н.</t>
  </si>
  <si>
    <t>Йелкикалан Ш.</t>
  </si>
  <si>
    <t>Марков И.А.</t>
  </si>
  <si>
    <t>Солодова Л.Н.</t>
  </si>
  <si>
    <t>Рудавин А.А.</t>
  </si>
  <si>
    <t xml:space="preserve">Носов Н.А.  </t>
  </si>
  <si>
    <t>Иванова Г.Ю.</t>
  </si>
  <si>
    <t>Масловский А.И.</t>
  </si>
  <si>
    <t>Орлов С.Е.</t>
  </si>
  <si>
    <t>Левашина Г.А.</t>
  </si>
  <si>
    <t>Орлова С.З.</t>
  </si>
  <si>
    <t>Сергиенко А.В.</t>
  </si>
  <si>
    <t>5/ 186</t>
  </si>
  <si>
    <t>Миловидова Л.И.</t>
  </si>
  <si>
    <t>Панин А.А.</t>
  </si>
  <si>
    <t>Хурцев В.В.</t>
  </si>
  <si>
    <t>Безуглова Н.П.</t>
  </si>
  <si>
    <t>Жулина Ж.Н.</t>
  </si>
  <si>
    <t>Басс М.В.</t>
  </si>
  <si>
    <t>Шендрикова И.А.</t>
  </si>
  <si>
    <t>Шихов А.С.</t>
  </si>
  <si>
    <t xml:space="preserve">Макарян К.Х.            </t>
  </si>
  <si>
    <t>Шатыркина Е.А.</t>
  </si>
  <si>
    <t xml:space="preserve">Юрковская З.В.        </t>
  </si>
  <si>
    <t>Романовский С.В.</t>
  </si>
  <si>
    <t xml:space="preserve">Карбышев С.А.        </t>
  </si>
  <si>
    <t xml:space="preserve">Павлова  Н.Е.           </t>
  </si>
  <si>
    <t xml:space="preserve">Макаева Р.А.            </t>
  </si>
  <si>
    <t xml:space="preserve">Акулин В.И.             </t>
  </si>
  <si>
    <t xml:space="preserve">Пестряков А.Н.        </t>
  </si>
  <si>
    <t xml:space="preserve">Павлюк Ю.А.                </t>
  </si>
  <si>
    <t xml:space="preserve">Каграманов А.Р.      </t>
  </si>
  <si>
    <t xml:space="preserve">Ванькович А. А.            </t>
  </si>
  <si>
    <t>Каграманова И.М.</t>
  </si>
  <si>
    <t xml:space="preserve">Тропинин Д.Н.              </t>
  </si>
  <si>
    <t xml:space="preserve">Чижова Э.В.       </t>
  </si>
  <si>
    <t xml:space="preserve">Хорольский Р.А.      </t>
  </si>
  <si>
    <t xml:space="preserve">Самонова С.Б.         </t>
  </si>
  <si>
    <t xml:space="preserve">Сокирко В.А.             </t>
  </si>
  <si>
    <t xml:space="preserve">Хоточкин С.В.           </t>
  </si>
  <si>
    <t xml:space="preserve">Молодцов С.М.        </t>
  </si>
  <si>
    <t xml:space="preserve">Горбатых А.И.          </t>
  </si>
  <si>
    <t xml:space="preserve">Большаков Д.В.                </t>
  </si>
  <si>
    <t xml:space="preserve">Шульга Е.В.             </t>
  </si>
  <si>
    <t>Мозалева А.С.</t>
  </si>
  <si>
    <t>Мурашова Л.В.</t>
  </si>
  <si>
    <t>Афонина В.А.</t>
  </si>
  <si>
    <t>Власов А.Г.</t>
  </si>
  <si>
    <t>Политаев И.П.</t>
  </si>
  <si>
    <t>Бутенко И.П.</t>
  </si>
  <si>
    <t xml:space="preserve">Егин А.П. </t>
  </si>
  <si>
    <t>Керопян Н.Н.</t>
  </si>
  <si>
    <t xml:space="preserve">Богословский В.А. </t>
  </si>
  <si>
    <t xml:space="preserve">Тучин А.В.      </t>
  </si>
  <si>
    <t>Немова Е.И.</t>
  </si>
  <si>
    <t>Шабашова В.В.</t>
  </si>
  <si>
    <t xml:space="preserve">Захаящева В.В.           </t>
  </si>
  <si>
    <t>Младенец И.В.</t>
  </si>
  <si>
    <t xml:space="preserve">Дробышев Ю.В.        </t>
  </si>
  <si>
    <t>Керопян Б.Н.</t>
  </si>
  <si>
    <t xml:space="preserve">Захарина Г.И.           </t>
  </si>
  <si>
    <t>Шелепов М.Ю.          00377494</t>
  </si>
  <si>
    <t>Смецкая В.Г.</t>
  </si>
  <si>
    <t xml:space="preserve">Тарасова С.Е.           </t>
  </si>
  <si>
    <t xml:space="preserve">Трофимов Д.А.                    </t>
  </si>
  <si>
    <t xml:space="preserve">Прокопчук О.С.     </t>
  </si>
  <si>
    <t xml:space="preserve">Бердиев Р.А.            </t>
  </si>
  <si>
    <t xml:space="preserve">Алексанян А.А.       </t>
  </si>
  <si>
    <t>Куриленок А.В.</t>
  </si>
  <si>
    <t xml:space="preserve">Милованов А.В.        </t>
  </si>
  <si>
    <t xml:space="preserve">Петухов П.Н.             </t>
  </si>
  <si>
    <t xml:space="preserve">Хохлова И.Д.           </t>
  </si>
  <si>
    <t xml:space="preserve">Желоболова О.П.     </t>
  </si>
  <si>
    <t>Корнеев В.</t>
  </si>
  <si>
    <t xml:space="preserve">Петрушин  С.В.        </t>
  </si>
  <si>
    <t xml:space="preserve">Криворотенко А.С.    </t>
  </si>
  <si>
    <t xml:space="preserve">Федорова Н.В.         </t>
  </si>
  <si>
    <t>Оганесян А.Г.</t>
  </si>
  <si>
    <t>Вязев В.И.</t>
  </si>
  <si>
    <t xml:space="preserve">Алексеев Д.Н.          </t>
  </si>
  <si>
    <t xml:space="preserve">Воробьев Н.П.         </t>
  </si>
  <si>
    <t xml:space="preserve">Гудкова Е.А.             </t>
  </si>
  <si>
    <t>Устинов М.В.</t>
  </si>
  <si>
    <t xml:space="preserve">Ермолов  А.Е.     </t>
  </si>
  <si>
    <t>Лебедева Н.А.</t>
  </si>
  <si>
    <t xml:space="preserve">Медведева А.В.        </t>
  </si>
  <si>
    <t xml:space="preserve">Серова К.В.              </t>
  </si>
  <si>
    <t>Бубон М.А.</t>
  </si>
  <si>
    <t>Сайганова И.Г.</t>
  </si>
  <si>
    <t xml:space="preserve">Даниловский И.В.    </t>
  </si>
  <si>
    <t xml:space="preserve">Цедрик В.Х.       </t>
  </si>
  <si>
    <t xml:space="preserve">Ермолов Е.А.            </t>
  </si>
  <si>
    <t xml:space="preserve">Таболин В.И.             </t>
  </si>
  <si>
    <t xml:space="preserve">Комлев В.И.       </t>
  </si>
  <si>
    <t>Смагин П.И.</t>
  </si>
  <si>
    <t>Алиев Р.В.</t>
  </si>
  <si>
    <t>Волкова А.А.</t>
  </si>
  <si>
    <t>Григорьева Т.А.</t>
  </si>
  <si>
    <t xml:space="preserve">Невенгловская Л.Ю. </t>
  </si>
  <si>
    <t>Шульгина С.А.</t>
  </si>
  <si>
    <t>Козак И.М.</t>
  </si>
  <si>
    <t>Рыбаков М.Е.</t>
  </si>
  <si>
    <t>Ковалев Г.И.</t>
  </si>
  <si>
    <t>Лысенко А.В.</t>
  </si>
  <si>
    <t>Калмыков Ю.В.</t>
  </si>
  <si>
    <t>Рузанов В.П.</t>
  </si>
  <si>
    <t>Глоба Н.С.</t>
  </si>
  <si>
    <t>Ларионов А.А.</t>
  </si>
  <si>
    <t>Вержановская И.А.</t>
  </si>
  <si>
    <t>Давыдов А.В.</t>
  </si>
  <si>
    <t>Смирнов А.А.</t>
  </si>
  <si>
    <t>Гаранин Г.И.</t>
  </si>
  <si>
    <t>Чунь А.О.</t>
  </si>
  <si>
    <t>Подопригора К.В.</t>
  </si>
  <si>
    <t>Морозова Е.В.</t>
  </si>
  <si>
    <t>Новикова О.И.</t>
  </si>
  <si>
    <t>Денисюк В.А.</t>
  </si>
  <si>
    <t>Беспалова Л.В.</t>
  </si>
  <si>
    <t>Шрамов В.П.</t>
  </si>
  <si>
    <t>Самулкин С.С.</t>
  </si>
  <si>
    <t xml:space="preserve">Федотова Т.В. </t>
  </si>
  <si>
    <t>Плехова Е.В.</t>
  </si>
  <si>
    <t xml:space="preserve">Оганесов Х.Р.    </t>
  </si>
  <si>
    <t>Чурсина О.В.</t>
  </si>
  <si>
    <t>Айриян Н.И.</t>
  </si>
  <si>
    <t>Птушкин П.Г.</t>
  </si>
  <si>
    <t>Розбицкая И.И.</t>
  </si>
  <si>
    <t>Красинец Р.А.</t>
  </si>
  <si>
    <t>Горьков А.Н.</t>
  </si>
  <si>
    <t>Хваловская Е.В.</t>
  </si>
  <si>
    <t>Андреева В.А.</t>
  </si>
  <si>
    <t>Дзюба О.Е.</t>
  </si>
  <si>
    <t>Акопян С.С.</t>
  </si>
  <si>
    <t>Шушпалов А.В.</t>
  </si>
  <si>
    <t>Сергеев А.И.</t>
  </si>
  <si>
    <t>Громова В.В.</t>
  </si>
  <si>
    <t>Ларионов Б.В.</t>
  </si>
  <si>
    <t>Ефимова Ю.Ю.</t>
  </si>
  <si>
    <t>Милокостова И.Г.</t>
  </si>
  <si>
    <t>Белова С.М.</t>
  </si>
  <si>
    <t>Дзгоева М.Ш.</t>
  </si>
  <si>
    <t>Коновалова Т.В.</t>
  </si>
  <si>
    <t>Неволин А.А.</t>
  </si>
  <si>
    <t>Мельник В.А.</t>
  </si>
  <si>
    <t>Парфенова Н.Д.</t>
  </si>
  <si>
    <t>Гаспарян Н.А.</t>
  </si>
  <si>
    <t>Соколов Д.А.</t>
  </si>
  <si>
    <t>Игнатьев А.Ю.</t>
  </si>
  <si>
    <t>Светов Р.Ю.</t>
  </si>
  <si>
    <t>Микляев В.Г.</t>
  </si>
  <si>
    <t>Данилов О.Б.</t>
  </si>
  <si>
    <t>Астафьева Е.Ю.</t>
  </si>
  <si>
    <t>Свахина Н.Н.</t>
  </si>
  <si>
    <t>Шульга В.И.</t>
  </si>
  <si>
    <t>Турукин И.Г.</t>
  </si>
  <si>
    <t>Зайцев П.И.</t>
  </si>
  <si>
    <t>Иванова В.И.</t>
  </si>
  <si>
    <t>Елесин Д.В.</t>
  </si>
  <si>
    <t>Шаталкина З.И.</t>
  </si>
  <si>
    <t>Михайлов В.Н.</t>
  </si>
  <si>
    <t>Крук О.С.</t>
  </si>
  <si>
    <t>Полякова Е.Ю.</t>
  </si>
  <si>
    <t>Валиев Р.З.</t>
  </si>
  <si>
    <t>Рубашов К.Б.</t>
  </si>
  <si>
    <t>Коновалов В.В.</t>
  </si>
  <si>
    <t>Андреева О.Л.</t>
  </si>
  <si>
    <t>Перепеча Н.Н.</t>
  </si>
  <si>
    <t>Сафонов А.И.</t>
  </si>
  <si>
    <t>Ксенофонтова Е.В.</t>
  </si>
  <si>
    <t>Давыдов А.Н.</t>
  </si>
  <si>
    <t>Климова Л.В.</t>
  </si>
  <si>
    <t>Иванов Д.Н.</t>
  </si>
  <si>
    <t>Савицкая Л.Ю.</t>
  </si>
  <si>
    <t>Землякова Н.А.</t>
  </si>
  <si>
    <t>Фадеев Е.В.</t>
  </si>
  <si>
    <t>Мурашкина Л.Д.</t>
  </si>
  <si>
    <t>Киселева О.И.</t>
  </si>
  <si>
    <t>Акопян М.А.</t>
  </si>
  <si>
    <t>Барков А.В.</t>
  </si>
  <si>
    <t>Зайцева Н.И.</t>
  </si>
  <si>
    <t>Табунов И.В.</t>
  </si>
  <si>
    <t>Дряннов А.П.</t>
  </si>
  <si>
    <t>Сисемова Т.В.</t>
  </si>
  <si>
    <t>Горелик Л.Б.</t>
  </si>
  <si>
    <t>Лысенко Е.Е.</t>
  </si>
  <si>
    <t>Малахов И.Н.</t>
  </si>
  <si>
    <t>Киселева  Е.С.</t>
  </si>
  <si>
    <t>Нестеренко А.А.</t>
  </si>
  <si>
    <t>Щеглова Е.И.</t>
  </si>
  <si>
    <t>Майборода О.Г.</t>
  </si>
  <si>
    <t>Белова О.И.</t>
  </si>
  <si>
    <t>Сиянина Л.В.</t>
  </si>
  <si>
    <t>Кияшко И.В.</t>
  </si>
  <si>
    <t>Блонская Г.Н.</t>
  </si>
  <si>
    <t>Булатова Н.В.</t>
  </si>
  <si>
    <t>Антонова Ю.В.</t>
  </si>
  <si>
    <t>Сидорова Л.П.</t>
  </si>
  <si>
    <t>Сабелькин В.В.</t>
  </si>
  <si>
    <t>Шарифуллин М.Ф.</t>
  </si>
  <si>
    <t>Скорняков В.В.</t>
  </si>
  <si>
    <t>Астатурян Н.Ж.</t>
  </si>
  <si>
    <t>Журбенко Ю.И.</t>
  </si>
  <si>
    <t>Варакина Л.В.</t>
  </si>
  <si>
    <t>Кочерженко И.С.</t>
  </si>
  <si>
    <t>Волчихина О.А.</t>
  </si>
  <si>
    <t>Бабаев А.В.</t>
  </si>
  <si>
    <t>Номер офиса</t>
  </si>
  <si>
    <t xml:space="preserve">Ф.И.О. </t>
  </si>
  <si>
    <t>Расход    эл.энергии, кВт-ч</t>
  </si>
  <si>
    <t>00215551-05</t>
  </si>
  <si>
    <t>00237149-05</t>
  </si>
  <si>
    <t>00864827-07</t>
  </si>
  <si>
    <t>02702728-08</t>
  </si>
  <si>
    <t>Офис 2</t>
  </si>
  <si>
    <t>Всего по общедомовым счетчикам</t>
  </si>
  <si>
    <r>
      <t>Этаж 2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>(к.3,4) лев. крыло</t>
    </r>
  </si>
  <si>
    <r>
      <t>Этаж 3</t>
    </r>
    <r>
      <rPr>
        <sz val="8"/>
        <rFont val="Arial Cyr"/>
        <charset val="204"/>
      </rPr>
      <t xml:space="preserve"> (к.7) налево/слева</t>
    </r>
  </si>
  <si>
    <r>
      <t>Этаж 4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 xml:space="preserve"> (к.11)          налево/слева</t>
    </r>
  </si>
  <si>
    <t xml:space="preserve"> </t>
  </si>
  <si>
    <t>ТСЖ "Дубки"</t>
  </si>
  <si>
    <t>Неучтенное потребление</t>
  </si>
  <si>
    <t xml:space="preserve">Жилые помещения </t>
  </si>
  <si>
    <t>Подъезды №1 и №2 (68 + 44) = 112 кв-р</t>
  </si>
  <si>
    <t>1/ 01</t>
  </si>
  <si>
    <t>Этаж 3</t>
  </si>
  <si>
    <t>1/ 02</t>
  </si>
  <si>
    <t>0249780-05</t>
  </si>
  <si>
    <t>1/ 03</t>
  </si>
  <si>
    <t>1/ 04</t>
  </si>
  <si>
    <t>1/ 05</t>
  </si>
  <si>
    <t>0270307-05</t>
  </si>
  <si>
    <t>Этаж 4</t>
  </si>
  <si>
    <t>1/ 06</t>
  </si>
  <si>
    <t>1/ 07</t>
  </si>
  <si>
    <t>1/ 08</t>
  </si>
  <si>
    <t>1/ 09</t>
  </si>
  <si>
    <t>Этаж 5</t>
  </si>
  <si>
    <t>1/ 11</t>
  </si>
  <si>
    <t>0269541-05</t>
  </si>
  <si>
    <t>1/ 12</t>
  </si>
  <si>
    <t>1/ 13</t>
  </si>
  <si>
    <t>Этаж 6</t>
  </si>
  <si>
    <t>1/ 14</t>
  </si>
  <si>
    <t>1/ 15</t>
  </si>
  <si>
    <t>1/ 16</t>
  </si>
  <si>
    <t>1/ 17</t>
  </si>
  <si>
    <t>Этаж 7</t>
  </si>
  <si>
    <t>1/ 18</t>
  </si>
  <si>
    <t>1/ 19</t>
  </si>
  <si>
    <t>1/ 20</t>
  </si>
  <si>
    <t>1/ 21</t>
  </si>
  <si>
    <t>Этаж 8</t>
  </si>
  <si>
    <t>1/ 22</t>
  </si>
  <si>
    <t>019055-04</t>
  </si>
  <si>
    <t>1/ 23</t>
  </si>
  <si>
    <t>1/ 24</t>
  </si>
  <si>
    <t>1/ 25</t>
  </si>
  <si>
    <t>Этаж 9</t>
  </si>
  <si>
    <t>1/ 26</t>
  </si>
  <si>
    <t>1/ 27</t>
  </si>
  <si>
    <t>1/ 28</t>
  </si>
  <si>
    <t>1/ 29</t>
  </si>
  <si>
    <t>Этаж 10</t>
  </si>
  <si>
    <t>1/ 30</t>
  </si>
  <si>
    <t>00249704-05</t>
  </si>
  <si>
    <t>1/ 31</t>
  </si>
  <si>
    <t>1/ 32</t>
  </si>
  <si>
    <t>0281712-05</t>
  </si>
  <si>
    <t>1/ 33</t>
  </si>
  <si>
    <t>Этаж 11</t>
  </si>
  <si>
    <t>1/ 34</t>
  </si>
  <si>
    <t>1/ 35</t>
  </si>
  <si>
    <t>00379134-05</t>
  </si>
  <si>
    <t>1/ 36</t>
  </si>
  <si>
    <t>1/ 37</t>
  </si>
  <si>
    <t>0270561-05</t>
  </si>
  <si>
    <t>Этаж 12</t>
  </si>
  <si>
    <t>1/ 38</t>
  </si>
  <si>
    <t>1/ 39</t>
  </si>
  <si>
    <t>1/ 40</t>
  </si>
  <si>
    <t>1/ 41</t>
  </si>
  <si>
    <t>Этаж 13</t>
  </si>
  <si>
    <t>1/ 42</t>
  </si>
  <si>
    <t>1/ 43</t>
  </si>
  <si>
    <t>0270630-05</t>
  </si>
  <si>
    <t>1/ 44</t>
  </si>
  <si>
    <t>1/ 45</t>
  </si>
  <si>
    <t>Этаж 14</t>
  </si>
  <si>
    <t>1/ 46</t>
  </si>
  <si>
    <t>1/ 47</t>
  </si>
  <si>
    <t>1/ 48</t>
  </si>
  <si>
    <t>1/ 49</t>
  </si>
  <si>
    <t>Этаж 15</t>
  </si>
  <si>
    <t>1/ 50</t>
  </si>
  <si>
    <t>0249753-05</t>
  </si>
  <si>
    <t>1/ 51</t>
  </si>
  <si>
    <t>1/ 52</t>
  </si>
  <si>
    <t>1/ 53</t>
  </si>
  <si>
    <t>1/ 55</t>
  </si>
  <si>
    <t>1/ 56</t>
  </si>
  <si>
    <t>0282062-05</t>
  </si>
  <si>
    <t>1/ 57</t>
  </si>
  <si>
    <t>1/ 58</t>
  </si>
  <si>
    <t>1/ 59</t>
  </si>
  <si>
    <t>0282026-05</t>
  </si>
  <si>
    <t>1/ 60</t>
  </si>
  <si>
    <t>1/ 61</t>
  </si>
  <si>
    <t>1/ 62</t>
  </si>
  <si>
    <t>1/ 63</t>
  </si>
  <si>
    <t>1/ 64</t>
  </si>
  <si>
    <t>04661480-09</t>
  </si>
  <si>
    <t xml:space="preserve">1/ 65 </t>
  </si>
  <si>
    <t>0270619-05</t>
  </si>
  <si>
    <t>Этаж 19</t>
  </si>
  <si>
    <t>1/ 66</t>
  </si>
  <si>
    <t>0281715-05</t>
  </si>
  <si>
    <t>1/ 67</t>
  </si>
  <si>
    <t>1/ 68</t>
  </si>
  <si>
    <t xml:space="preserve">2/ 69 </t>
  </si>
  <si>
    <t>2/ 70</t>
  </si>
  <si>
    <t>0282060-05</t>
  </si>
  <si>
    <t>2/ 71</t>
  </si>
  <si>
    <t>2/ 72</t>
  </si>
  <si>
    <t>2/ 73</t>
  </si>
  <si>
    <t>2/ 74</t>
  </si>
  <si>
    <t>2/ 75</t>
  </si>
  <si>
    <t>0281548-05</t>
  </si>
  <si>
    <t>2/ 76</t>
  </si>
  <si>
    <t>2/ 77</t>
  </si>
  <si>
    <t>2/ 78</t>
  </si>
  <si>
    <t>2/ 79</t>
  </si>
  <si>
    <t>2/ 80</t>
  </si>
  <si>
    <t>2/ 81</t>
  </si>
  <si>
    <t>2/ 82</t>
  </si>
  <si>
    <t>0281851-05</t>
  </si>
  <si>
    <t>2/ 83</t>
  </si>
  <si>
    <t>0282157-05</t>
  </si>
  <si>
    <t>2/ 84</t>
  </si>
  <si>
    <t>0271592-05</t>
  </si>
  <si>
    <t>2/ 85</t>
  </si>
  <si>
    <t>2/ 86</t>
  </si>
  <si>
    <t>2/ 87</t>
  </si>
  <si>
    <t>2/ 88</t>
  </si>
  <si>
    <t>2/ 89</t>
  </si>
  <si>
    <t>2/ 90</t>
  </si>
  <si>
    <t>2/ 91</t>
  </si>
  <si>
    <t>0249699-05</t>
  </si>
  <si>
    <t>2/ 92</t>
  </si>
  <si>
    <t>2/ 93</t>
  </si>
  <si>
    <t>2/ 94</t>
  </si>
  <si>
    <t>2/ 95</t>
  </si>
  <si>
    <t>2/ 96</t>
  </si>
  <si>
    <t>2/ 97</t>
  </si>
  <si>
    <t>2/ 98</t>
  </si>
  <si>
    <t>2/ 99</t>
  </si>
  <si>
    <t>2/ 100</t>
  </si>
  <si>
    <t>0271551-05</t>
  </si>
  <si>
    <t>2/ 101</t>
  </si>
  <si>
    <t>0281644-05</t>
  </si>
  <si>
    <t>2/ 102</t>
  </si>
  <si>
    <t>0282121-05</t>
  </si>
  <si>
    <t>2/ 103</t>
  </si>
  <si>
    <t>2/ 104</t>
  </si>
  <si>
    <t>2/ 105</t>
  </si>
  <si>
    <t>2/ 107</t>
  </si>
  <si>
    <t>2/ 108</t>
  </si>
  <si>
    <t>0271104-05</t>
  </si>
  <si>
    <t>2/ 109</t>
  </si>
  <si>
    <t>2/ 110</t>
  </si>
  <si>
    <t>0270635-05</t>
  </si>
  <si>
    <t>2/ 111</t>
  </si>
  <si>
    <t>0281879-05</t>
  </si>
  <si>
    <t>2/ 112</t>
  </si>
  <si>
    <t>Жилые помещения</t>
  </si>
  <si>
    <t>Подъезд №3 - 25 кв-р</t>
  </si>
  <si>
    <t>3/ 113</t>
  </si>
  <si>
    <t>3/ 114</t>
  </si>
  <si>
    <t>3/ 115</t>
  </si>
  <si>
    <t>3/ 116</t>
  </si>
  <si>
    <t>3/ 117</t>
  </si>
  <si>
    <t>3/ 118</t>
  </si>
  <si>
    <t>3/ 119</t>
  </si>
  <si>
    <t>3/ 120</t>
  </si>
  <si>
    <t>3/ 121</t>
  </si>
  <si>
    <t>3/ 122</t>
  </si>
  <si>
    <t>0270621-05</t>
  </si>
  <si>
    <t>3/ 123</t>
  </si>
  <si>
    <t>0271569-05</t>
  </si>
  <si>
    <t>3/ 124</t>
  </si>
  <si>
    <t>3/ 125</t>
  </si>
  <si>
    <t>3/ 126</t>
  </si>
  <si>
    <t>3/ 127</t>
  </si>
  <si>
    <t>3/ 128</t>
  </si>
  <si>
    <t>3/ 129</t>
  </si>
  <si>
    <t>3/ 130</t>
  </si>
  <si>
    <t>0270641-05</t>
  </si>
  <si>
    <t>3/ 131</t>
  </si>
  <si>
    <t>3/ 132</t>
  </si>
  <si>
    <t>3/ 133</t>
  </si>
  <si>
    <t>3/ 134</t>
  </si>
  <si>
    <t>3/ 135</t>
  </si>
  <si>
    <t>3/ 136</t>
  </si>
  <si>
    <t>3/ 137</t>
  </si>
  <si>
    <t>Подъезды №4 и №5 (25 + 28) = 53 кв-ры</t>
  </si>
  <si>
    <t>Расход     электро-энергии</t>
  </si>
  <si>
    <t>4/ 138</t>
  </si>
  <si>
    <t>0270667-05</t>
  </si>
  <si>
    <t>4/ 139</t>
  </si>
  <si>
    <t>4/ 140</t>
  </si>
  <si>
    <t>4/ 141</t>
  </si>
  <si>
    <t>4/ 142-эт.3</t>
  </si>
  <si>
    <t>4/ 143</t>
  </si>
  <si>
    <t>4/ 144</t>
  </si>
  <si>
    <t>4/ 145</t>
  </si>
  <si>
    <t>4/ 146</t>
  </si>
  <si>
    <t>4/ 147</t>
  </si>
  <si>
    <t>4/ 148</t>
  </si>
  <si>
    <t>0270752-05</t>
  </si>
  <si>
    <t>4/ 149</t>
  </si>
  <si>
    <t>4/ 150</t>
  </si>
  <si>
    <t>4/ 152</t>
  </si>
  <si>
    <t>4/ 153</t>
  </si>
  <si>
    <t>0282055-05</t>
  </si>
  <si>
    <t>4/ 154</t>
  </si>
  <si>
    <t>4/ 155</t>
  </si>
  <si>
    <t>4/ 156</t>
  </si>
  <si>
    <t>4/ 157</t>
  </si>
  <si>
    <t>4/ 158</t>
  </si>
  <si>
    <t>4/ 159</t>
  </si>
  <si>
    <t>4/ 160</t>
  </si>
  <si>
    <t>4/ 161</t>
  </si>
  <si>
    <t>4/ 162</t>
  </si>
  <si>
    <t>5/ 163</t>
  </si>
  <si>
    <t>5/ 165</t>
  </si>
  <si>
    <t>5/ 166</t>
  </si>
  <si>
    <t>5/ 167</t>
  </si>
  <si>
    <t>5/ 168</t>
  </si>
  <si>
    <t>5/ 169</t>
  </si>
  <si>
    <t>0249614-05</t>
  </si>
  <si>
    <t>5/ 170</t>
  </si>
  <si>
    <t>0270784-05</t>
  </si>
  <si>
    <t>5/ 171</t>
  </si>
  <si>
    <t>5/ 172</t>
  </si>
  <si>
    <t>0270685-05</t>
  </si>
  <si>
    <t>5/ 173</t>
  </si>
  <si>
    <t>5/ 174</t>
  </si>
  <si>
    <t>5/ 175</t>
  </si>
  <si>
    <t>0249720-05</t>
  </si>
  <si>
    <t>5/ 176</t>
  </si>
  <si>
    <t>5/ 177</t>
  </si>
  <si>
    <t>5/ 179</t>
  </si>
  <si>
    <t>5/ 180</t>
  </si>
  <si>
    <t>5/ 181</t>
  </si>
  <si>
    <t>5/ 182</t>
  </si>
  <si>
    <t>5/ 183</t>
  </si>
  <si>
    <t>5/ 184</t>
  </si>
  <si>
    <t>5/ 185</t>
  </si>
  <si>
    <t>03069071-08</t>
  </si>
  <si>
    <t>5/ 187</t>
  </si>
  <si>
    <t>5/ 188</t>
  </si>
  <si>
    <t>5/ 189</t>
  </si>
  <si>
    <t>5/ 190</t>
  </si>
  <si>
    <t>Корпус 1 =195 кв.</t>
  </si>
  <si>
    <t>Л/ 01</t>
  </si>
  <si>
    <t>2</t>
  </si>
  <si>
    <t>3</t>
  </si>
  <si>
    <t>4</t>
  </si>
  <si>
    <t>5</t>
  </si>
  <si>
    <t>П/ 06</t>
  </si>
  <si>
    <t>7</t>
  </si>
  <si>
    <t>8</t>
  </si>
  <si>
    <t>9</t>
  </si>
  <si>
    <t>Л/10</t>
  </si>
  <si>
    <t>11</t>
  </si>
  <si>
    <t>12</t>
  </si>
  <si>
    <t>13</t>
  </si>
  <si>
    <t>14</t>
  </si>
  <si>
    <t>П/ 15</t>
  </si>
  <si>
    <t>16</t>
  </si>
  <si>
    <t>17</t>
  </si>
  <si>
    <t>18</t>
  </si>
  <si>
    <t>20</t>
  </si>
  <si>
    <t>21</t>
  </si>
  <si>
    <t>22</t>
  </si>
  <si>
    <t>23</t>
  </si>
  <si>
    <t>П/ 24</t>
  </si>
  <si>
    <t>25</t>
  </si>
  <si>
    <t>26</t>
  </si>
  <si>
    <t>27</t>
  </si>
  <si>
    <t>Л/ 28</t>
  </si>
  <si>
    <t>29</t>
  </si>
  <si>
    <t>30</t>
  </si>
  <si>
    <t>31</t>
  </si>
  <si>
    <t>32</t>
  </si>
  <si>
    <t>П/ 33</t>
  </si>
  <si>
    <t>0281501-05</t>
  </si>
  <si>
    <t>34</t>
  </si>
  <si>
    <t>35</t>
  </si>
  <si>
    <t>003490-05</t>
  </si>
  <si>
    <t>36</t>
  </si>
  <si>
    <t>Л/37</t>
  </si>
  <si>
    <t>Эт. №6</t>
  </si>
  <si>
    <t>38</t>
  </si>
  <si>
    <t>39</t>
  </si>
  <si>
    <t>40</t>
  </si>
  <si>
    <t>41</t>
  </si>
  <si>
    <t>П/42</t>
  </si>
  <si>
    <t>Л/ 46</t>
  </si>
  <si>
    <t>Эт. №7</t>
  </si>
  <si>
    <t>П/ 51</t>
  </si>
  <si>
    <t>52</t>
  </si>
  <si>
    <t>53</t>
  </si>
  <si>
    <t>54</t>
  </si>
  <si>
    <t>Л/ 55</t>
  </si>
  <si>
    <t>Эт. № 8</t>
  </si>
  <si>
    <t>56</t>
  </si>
  <si>
    <t>57</t>
  </si>
  <si>
    <t>58</t>
  </si>
  <si>
    <t>59</t>
  </si>
  <si>
    <t>61</t>
  </si>
  <si>
    <t>62</t>
  </si>
  <si>
    <t>63</t>
  </si>
  <si>
    <t>Л/ 64</t>
  </si>
  <si>
    <t>65</t>
  </si>
  <si>
    <t>66</t>
  </si>
  <si>
    <t>00377336-05</t>
  </si>
  <si>
    <t>67</t>
  </si>
  <si>
    <t>68</t>
  </si>
  <si>
    <t>70</t>
  </si>
  <si>
    <t>71</t>
  </si>
  <si>
    <t>Л/72</t>
  </si>
  <si>
    <t>Эт. №10</t>
  </si>
  <si>
    <t>73</t>
  </si>
  <si>
    <t>74</t>
  </si>
  <si>
    <t>75</t>
  </si>
  <si>
    <t>76</t>
  </si>
  <si>
    <t>П/ 77</t>
  </si>
  <si>
    <t>78</t>
  </si>
  <si>
    <t>79</t>
  </si>
  <si>
    <t>80</t>
  </si>
  <si>
    <t>Л/ 81</t>
  </si>
  <si>
    <t>82</t>
  </si>
  <si>
    <t>83</t>
  </si>
  <si>
    <t>85</t>
  </si>
  <si>
    <t>П/ 86</t>
  </si>
  <si>
    <t>87</t>
  </si>
  <si>
    <t>88</t>
  </si>
  <si>
    <t>89</t>
  </si>
  <si>
    <t>91</t>
  </si>
  <si>
    <t>93</t>
  </si>
  <si>
    <t>П/94</t>
  </si>
  <si>
    <t>95</t>
  </si>
  <si>
    <t>96</t>
  </si>
  <si>
    <t>97</t>
  </si>
  <si>
    <t>Л/ 98</t>
  </si>
  <si>
    <t>99</t>
  </si>
  <si>
    <t>100</t>
  </si>
  <si>
    <t>101</t>
  </si>
  <si>
    <t>102</t>
  </si>
  <si>
    <t>П/103</t>
  </si>
  <si>
    <t>104</t>
  </si>
  <si>
    <t>105</t>
  </si>
  <si>
    <t>106</t>
  </si>
  <si>
    <t>Эт. №14</t>
  </si>
  <si>
    <t>108</t>
  </si>
  <si>
    <t>110</t>
  </si>
  <si>
    <t>111</t>
  </si>
  <si>
    <t>П/112</t>
  </si>
  <si>
    <t>113</t>
  </si>
  <si>
    <t>114</t>
  </si>
  <si>
    <t>115</t>
  </si>
  <si>
    <t>Л/116</t>
  </si>
  <si>
    <t>117</t>
  </si>
  <si>
    <t>118</t>
  </si>
  <si>
    <t>119</t>
  </si>
  <si>
    <t>120</t>
  </si>
  <si>
    <t>П/121</t>
  </si>
  <si>
    <t>122</t>
  </si>
  <si>
    <t>123</t>
  </si>
  <si>
    <t>124</t>
  </si>
  <si>
    <t>Л/125</t>
  </si>
  <si>
    <t>126</t>
  </si>
  <si>
    <t>127</t>
  </si>
  <si>
    <t>128</t>
  </si>
  <si>
    <t>129</t>
  </si>
  <si>
    <t>П/130</t>
  </si>
  <si>
    <t>131</t>
  </si>
  <si>
    <t>132</t>
  </si>
  <si>
    <t>133</t>
  </si>
  <si>
    <t>Л/134</t>
  </si>
  <si>
    <t>00377084-06</t>
  </si>
  <si>
    <t>Эт. №17</t>
  </si>
  <si>
    <t>135</t>
  </si>
  <si>
    <t>00377154-05</t>
  </si>
  <si>
    <t>136</t>
  </si>
  <si>
    <t>137</t>
  </si>
  <si>
    <t>138</t>
  </si>
  <si>
    <t>00379606-05</t>
  </si>
  <si>
    <t>П/139</t>
  </si>
  <si>
    <t>140</t>
  </si>
  <si>
    <t>141</t>
  </si>
  <si>
    <t>142</t>
  </si>
  <si>
    <t>Л/143</t>
  </si>
  <si>
    <t>Эт. №18</t>
  </si>
  <si>
    <t>144</t>
  </si>
  <si>
    <t>145</t>
  </si>
  <si>
    <t>146</t>
  </si>
  <si>
    <t>147</t>
  </si>
  <si>
    <t>П/148</t>
  </si>
  <si>
    <t>149</t>
  </si>
  <si>
    <t>150</t>
  </si>
  <si>
    <t>151</t>
  </si>
  <si>
    <t>Л/152</t>
  </si>
  <si>
    <t>153</t>
  </si>
  <si>
    <t>155</t>
  </si>
  <si>
    <t>156</t>
  </si>
  <si>
    <t>00377303-05</t>
  </si>
  <si>
    <t>П/157</t>
  </si>
  <si>
    <t>158</t>
  </si>
  <si>
    <t>159</t>
  </si>
  <si>
    <t>160</t>
  </si>
  <si>
    <t>Л/161</t>
  </si>
  <si>
    <t>Эт. №20</t>
  </si>
  <si>
    <t>162</t>
  </si>
  <si>
    <t>163</t>
  </si>
  <si>
    <t>164</t>
  </si>
  <si>
    <t>165</t>
  </si>
  <si>
    <t>П/166</t>
  </si>
  <si>
    <t>167</t>
  </si>
  <si>
    <t>168</t>
  </si>
  <si>
    <t>169</t>
  </si>
  <si>
    <t>Л/170</t>
  </si>
  <si>
    <t>Эт. №21</t>
  </si>
  <si>
    <t>171</t>
  </si>
  <si>
    <t>172</t>
  </si>
  <si>
    <t>173</t>
  </si>
  <si>
    <t>174</t>
  </si>
  <si>
    <t>П/175</t>
  </si>
  <si>
    <t>176</t>
  </si>
  <si>
    <t>177</t>
  </si>
  <si>
    <t>177а</t>
  </si>
  <si>
    <t>Л/178</t>
  </si>
  <si>
    <t>Эт. №22</t>
  </si>
  <si>
    <t>179</t>
  </si>
  <si>
    <t>180</t>
  </si>
  <si>
    <t>181</t>
  </si>
  <si>
    <t>182</t>
  </si>
  <si>
    <t>П/183</t>
  </si>
  <si>
    <t>184</t>
  </si>
  <si>
    <t>185</t>
  </si>
  <si>
    <t>186</t>
  </si>
  <si>
    <t>188</t>
  </si>
  <si>
    <t>189</t>
  </si>
  <si>
    <t>190</t>
  </si>
  <si>
    <t>191</t>
  </si>
  <si>
    <t>П/192</t>
  </si>
  <si>
    <t>193</t>
  </si>
  <si>
    <t>194</t>
  </si>
  <si>
    <t>195</t>
  </si>
  <si>
    <t>05109765-09</t>
  </si>
  <si>
    <t>05553234-09</t>
  </si>
  <si>
    <t>00376956-05</t>
  </si>
  <si>
    <t>00377557-05</t>
  </si>
  <si>
    <t>00347109-05</t>
  </si>
  <si>
    <t>00377470-05</t>
  </si>
  <si>
    <t>00377503-05</t>
  </si>
  <si>
    <t>00377420-05</t>
  </si>
  <si>
    <t>Установ. 29.01.10</t>
  </si>
  <si>
    <t>Эт. №5</t>
  </si>
  <si>
    <r>
      <t>Этаж 1</t>
    </r>
    <r>
      <rPr>
        <sz val="8"/>
        <rFont val="Arial Cyr"/>
        <charset val="204"/>
      </rPr>
      <t xml:space="preserve"> (к. 1)  лев. крыло</t>
    </r>
  </si>
  <si>
    <t xml:space="preserve">02/Л.крыло-эт.1/              тех.этаж </t>
  </si>
  <si>
    <t>01/Л.крыло-эт.1/           подвал/ тех.эт.</t>
  </si>
  <si>
    <t>03/Л.крыло-эт.1/              тех. этаж</t>
  </si>
  <si>
    <t>04/П.крыло-эт.1/    подвал/ тех.эт.</t>
  </si>
  <si>
    <t>05/Ф.-П.кр.-эт.1/             подвал/тех.эт.</t>
  </si>
  <si>
    <t>06/Ф.-П.кр.-эт.1/ подвал/тех.эт.</t>
  </si>
  <si>
    <t>05688517-10</t>
  </si>
  <si>
    <t>Всего по Жилкомплексу</t>
  </si>
  <si>
    <t xml:space="preserve">Места общего пользования </t>
  </si>
  <si>
    <t>Резцова А.</t>
  </si>
  <si>
    <t>06128085-10</t>
  </si>
  <si>
    <t>05925429-10</t>
  </si>
  <si>
    <t>Долгов Иван Алексеев.       768-58-93 /эл.авт. № 1</t>
  </si>
  <si>
    <t>Кв-ры отгорожены от лифт. холла метал.дверью</t>
  </si>
  <si>
    <t>Пирогов Н.А.</t>
  </si>
  <si>
    <t>06626323-10</t>
  </si>
  <si>
    <t>б/н-с.1-Ф        Подвал /дв.7</t>
  </si>
  <si>
    <t>Общий коридор</t>
  </si>
  <si>
    <t>006887670-10</t>
  </si>
  <si>
    <t>Ананьева О.И.</t>
  </si>
  <si>
    <t>Коэфициент потерь (Кп) для нежилых помещений корпуса 1</t>
  </si>
  <si>
    <t>07173213-10</t>
  </si>
  <si>
    <t>Установ. 30.11.10</t>
  </si>
  <si>
    <t>Установ. 26.11.10</t>
  </si>
  <si>
    <t>07173067-10</t>
  </si>
  <si>
    <t>07173192-10</t>
  </si>
  <si>
    <t>Установ. 9.12.10</t>
  </si>
  <si>
    <t>07173259-10</t>
  </si>
  <si>
    <t>07167438-10</t>
  </si>
  <si>
    <t>06627290-10</t>
  </si>
  <si>
    <t>На дверь входа в межквар. коридор установ. наклад.замок</t>
  </si>
  <si>
    <t>Коломиец А.Г.</t>
  </si>
  <si>
    <t xml:space="preserve">Установ.26.01.11 </t>
  </si>
  <si>
    <t>07173216-10</t>
  </si>
  <si>
    <t>Клевец И.Д.</t>
  </si>
  <si>
    <t>07193389-10</t>
  </si>
  <si>
    <t>07647648-10</t>
  </si>
  <si>
    <t>07658879-10</t>
  </si>
  <si>
    <t xml:space="preserve">Установ.22.03.11 </t>
  </si>
  <si>
    <t>07429100-10</t>
  </si>
  <si>
    <t>М.О. филиал ФГУП Ростехинвентаризация -Федер.БТИ. 8 964 725 15 08 Владимир Петрович</t>
  </si>
  <si>
    <t>07649441-10</t>
  </si>
  <si>
    <t xml:space="preserve">Установ.6.05.11 </t>
  </si>
  <si>
    <t>0669506-10</t>
  </si>
  <si>
    <t>07658976-10</t>
  </si>
  <si>
    <t>ОАО "Центральный телеграф"</t>
  </si>
  <si>
    <t>07647642-10</t>
  </si>
  <si>
    <t>Установ. 6.06.11</t>
  </si>
  <si>
    <t>0282163-05</t>
  </si>
  <si>
    <t>0270651-05</t>
  </si>
  <si>
    <t>Шерстнева Е.Н.</t>
  </si>
  <si>
    <t>Установ. 30.06.11</t>
  </si>
  <si>
    <t>07660681-10</t>
  </si>
  <si>
    <t>07344264-10</t>
  </si>
  <si>
    <t>07429130-10</t>
  </si>
  <si>
    <t>08641148-11</t>
  </si>
  <si>
    <t>Откл. в 2009 г. ?     Задолженность.</t>
  </si>
  <si>
    <t>08630360-11</t>
  </si>
  <si>
    <t>Установ. 1.08.11</t>
  </si>
  <si>
    <t>08342811-11</t>
  </si>
  <si>
    <t>08131988-11</t>
  </si>
  <si>
    <t>Установ. 17.12.10</t>
  </si>
  <si>
    <t>08926803-11</t>
  </si>
  <si>
    <t>1/ 54</t>
  </si>
  <si>
    <t>08132048-11</t>
  </si>
  <si>
    <t>ОТЧЕТ</t>
  </si>
  <si>
    <t>Всего</t>
  </si>
  <si>
    <t>Узнать о показаниях общих приборов учета и другую интересную информацию Вы можете</t>
  </si>
  <si>
    <t>Показания индивидуальных приборов учета холодного и горячего водоснабжения подаются</t>
  </si>
  <si>
    <t>Тариф, руб.</t>
  </si>
  <si>
    <t>Сумма, руб.</t>
  </si>
  <si>
    <r>
      <t xml:space="preserve">на сайте ТСЖ "ДУБКИ" </t>
    </r>
    <r>
      <rPr>
        <b/>
        <sz val="11"/>
        <color indexed="8"/>
        <rFont val="Calibri"/>
        <family val="2"/>
        <charset val="204"/>
      </rPr>
      <t>www.tsj-dubki.ru</t>
    </r>
  </si>
  <si>
    <t>Диспетчерская ТСЖ "ДУБКИ" тел. 8-495-544-49-11, 8-498-600-34-11</t>
  </si>
  <si>
    <t>ежемесячно в диспетчерскую до 25 числа расчетного месяца.</t>
  </si>
  <si>
    <t>С учетом общего коридора</t>
  </si>
  <si>
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корпусов 4, 5, 6</t>
  </si>
  <si>
    <t>07-08/П.крыло - эт.1/ тех.эт.</t>
  </si>
  <si>
    <t>на один кв.м. находящийся в собственности</t>
  </si>
  <si>
    <t>Ростехинвентаризация</t>
  </si>
  <si>
    <t>08343204-11</t>
  </si>
  <si>
    <t>08132068-11</t>
  </si>
  <si>
    <t>08169940-11</t>
  </si>
  <si>
    <r>
      <rPr>
        <sz val="7"/>
        <rFont val="Arial Cyr"/>
        <charset val="204"/>
      </rPr>
      <t>Уст. 4.04.12 /</t>
    </r>
    <r>
      <rPr>
        <sz val="8"/>
        <rFont val="Arial Cyr"/>
        <charset val="204"/>
      </rPr>
      <t>Эт. №19</t>
    </r>
  </si>
  <si>
    <t>08342446-11</t>
  </si>
  <si>
    <t>Ворота_2 кВт-ч/сут обогрев 0,5 кВт-ч/12 ч</t>
  </si>
  <si>
    <t>27 кВт-ч х 33 сут = 891 кВт-ч</t>
  </si>
  <si>
    <t>Корнеев Сергей Виктор.          505-00-08 /эл.авт. № 2</t>
  </si>
  <si>
    <t>00316958-05</t>
  </si>
  <si>
    <t>00377356-05</t>
  </si>
  <si>
    <t>Показания общих счетчиков</t>
  </si>
  <si>
    <t>Итого</t>
  </si>
  <si>
    <t>ОПУ итого</t>
  </si>
  <si>
    <t>Корпус 3</t>
  </si>
  <si>
    <t>секция №2 оф. 9А</t>
  </si>
  <si>
    <t>08571647-11</t>
  </si>
  <si>
    <t>Неустойчивая индикац           Сред. 230 кВт-ч/ мес.</t>
  </si>
  <si>
    <t>ВСЕГО</t>
  </si>
  <si>
    <t>Нежилые помещения</t>
  </si>
  <si>
    <r>
  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</t>
    </r>
    <r>
      <rPr>
        <b/>
        <u/>
        <sz val="16"/>
        <color indexed="8"/>
        <rFont val="Calibri"/>
        <family val="2"/>
        <charset val="204"/>
      </rPr>
      <t xml:space="preserve"> корп. 2</t>
    </r>
  </si>
  <si>
    <t>Карташова Марина Леонидовна</t>
  </si>
  <si>
    <t>Волович Татьяна Анатольевна</t>
  </si>
  <si>
    <t>Бучарская Марина Вадимовна</t>
  </si>
  <si>
    <t>Данилова Людмила Сергеевна</t>
  </si>
  <si>
    <t>Махмудов Александр Ахмеджанович</t>
  </si>
  <si>
    <t>Мартынова Ксения Владимировна</t>
  </si>
  <si>
    <t>Джилавян Гагик Альбертович</t>
  </si>
  <si>
    <t>Трапезникова Татьяна Леонидовна</t>
  </si>
  <si>
    <t>Штилс Елена Викторовна</t>
  </si>
  <si>
    <t>Герасимова Галина Николаевна</t>
  </si>
  <si>
    <t>Габуния Реваз Омарович</t>
  </si>
  <si>
    <t>Юрченко Наталья Валерьевна</t>
  </si>
  <si>
    <t>Безиров Анзор Баилович</t>
  </si>
  <si>
    <t>Журба Ольга Петровна</t>
  </si>
  <si>
    <t>Морковник Галина Алексевна</t>
  </si>
  <si>
    <t>Берченко Лариса Евгеньевна</t>
  </si>
  <si>
    <t>Яблокова  Евгения Константиновна</t>
  </si>
  <si>
    <t>Кураков Александр Игоревич</t>
  </si>
  <si>
    <t>Алексеев Андрей Николаевич</t>
  </si>
  <si>
    <t>Антосиков Сергей Аркадьевич</t>
  </si>
  <si>
    <t>Улановская Валентина Александровна</t>
  </si>
  <si>
    <t>Веропотвельян Михаил Петрович</t>
  </si>
  <si>
    <t>Баландин Николай Анатольевич</t>
  </si>
  <si>
    <t>Ляхова Юлия Владимировна</t>
  </si>
  <si>
    <t>Ипатова Ирина Юрьевна</t>
  </si>
  <si>
    <t>Смецкой Дмитрий Леонидович</t>
  </si>
  <si>
    <t>Ашуров Евгений Геннадьевич</t>
  </si>
  <si>
    <t>Хольнов Алексей Игоревич</t>
  </si>
  <si>
    <t>Хольнова Ольга Валерьевна</t>
  </si>
  <si>
    <t>Васильева Наталья Евгеньевна</t>
  </si>
  <si>
    <t>Емуович Владимир Миганович</t>
  </si>
  <si>
    <t>Зарубин Дмитрий Сергеевич</t>
  </si>
  <si>
    <t>Малышева Екатерина Алексеевна</t>
  </si>
  <si>
    <t>Забродина Людмила Юрьевна</t>
  </si>
  <si>
    <t>Булочников Михаил Евгеньевич</t>
  </si>
  <si>
    <t>Барсегян Наира Кимовна</t>
  </si>
  <si>
    <t>Казакова Ираида Александровна</t>
  </si>
  <si>
    <t>Добролович Ольга Владимировна</t>
  </si>
  <si>
    <t>Шушерова Ольга Сергеевна</t>
  </si>
  <si>
    <t>Лалыкина Светлана Александровна</t>
  </si>
  <si>
    <t>Ивлева Олеся Викторовна</t>
  </si>
  <si>
    <t>Сербина Алеся Евгеньевна</t>
  </si>
  <si>
    <t>Озолина Влада Владимировна</t>
  </si>
  <si>
    <t>Недзвецкая Елена Аатольевна</t>
  </si>
  <si>
    <t>Черницын Владимир Николаевич</t>
  </si>
  <si>
    <t>Триполева Татьяна Николаевна</t>
  </si>
  <si>
    <t>Мизинчикова Галина Борисовна</t>
  </si>
  <si>
    <t>Маметов Тагир Равильевич</t>
  </si>
  <si>
    <t>Тришкина Любовь Владимировна</t>
  </si>
  <si>
    <t>Коломиец Андрей Григорьевич</t>
  </si>
  <si>
    <t>Муллин И.Г., Муллин С.М.</t>
  </si>
  <si>
    <t>Пименов Владимир Иванович</t>
  </si>
  <si>
    <t>Андрианова Анастасия Андреевна</t>
  </si>
  <si>
    <t>Филатова Галина Викторовна</t>
  </si>
  <si>
    <t>Олефиренко Александр Федорович</t>
  </si>
  <si>
    <t>Гончаров Алексей Александрович</t>
  </si>
  <si>
    <t>Демченко Игорь Анатольевич</t>
  </si>
  <si>
    <t>Пашян Норайр Саргисович</t>
  </si>
  <si>
    <t>Рудных Михаил Леонидович</t>
  </si>
  <si>
    <t>Вилков Алексей Викторович</t>
  </si>
  <si>
    <t>Шагинов Олег Макарович</t>
  </si>
  <si>
    <t>Зелепукин Игорь Владимирович</t>
  </si>
  <si>
    <t>Соколова Светлана Васильевна</t>
  </si>
  <si>
    <t>Сабина Дмитрий Валерьевич</t>
  </si>
  <si>
    <t>Куликова Зоя Ивановна</t>
  </si>
  <si>
    <t>Гусихин Александр Владимирович</t>
  </si>
  <si>
    <t>Мерясев Сергей Михайлович</t>
  </si>
  <si>
    <t>Кухарский Стефан Владимирович</t>
  </si>
  <si>
    <t>Новиков Николай Николаевич</t>
  </si>
  <si>
    <t>Кириллова Ирина Федоровна</t>
  </si>
  <si>
    <t>Дробенко Нина Ивановна</t>
  </si>
  <si>
    <t>Дробенко Василий Петрович</t>
  </si>
  <si>
    <t>Воеводин Михаил Александрович</t>
  </si>
  <si>
    <r>
      <t xml:space="preserve">Подъезд </t>
    </r>
    <r>
      <rPr>
        <b/>
        <sz val="8"/>
        <rFont val="Arial Cyr"/>
        <charset val="204"/>
      </rPr>
      <t>квартира</t>
    </r>
  </si>
  <si>
    <t>Имамов Марсель Мирсадетдинович</t>
  </si>
  <si>
    <t>Золотарев Мирослав Игоревич</t>
  </si>
  <si>
    <t>Соловьева Елена Владимировна</t>
  </si>
  <si>
    <t>Амбарян Айваз Мамбрикович</t>
  </si>
  <si>
    <t>Лисичкина Надежда Анатольевна</t>
  </si>
  <si>
    <t>Лисичкин Валентин Александрович</t>
  </si>
  <si>
    <t>Гаврилова Оксана Михайловна</t>
  </si>
  <si>
    <t>Аверина Елена Викторовна</t>
  </si>
  <si>
    <t>Сизых Сергей Иванович</t>
  </si>
  <si>
    <t>Джерук Игорь Иванович</t>
  </si>
  <si>
    <t>Никуленко Ольга Викторовна</t>
  </si>
  <si>
    <t>Мусаева Сусанна Короглу кызы</t>
  </si>
  <si>
    <t>Казанцева Любовь Георгиевна</t>
  </si>
  <si>
    <t>Фандеева Татьяна Андреевна</t>
  </si>
  <si>
    <t>Тазитдинова Расима Явдатовна</t>
  </si>
  <si>
    <t>Игнатов Николай Львович</t>
  </si>
  <si>
    <t>Савченко Ирина Валентиновна</t>
  </si>
  <si>
    <t>Манбетов Олег Эркинович</t>
  </si>
  <si>
    <t>Пирогов Николай Анатольевич</t>
  </si>
  <si>
    <t>Пирогова Елена Евгеньевна</t>
  </si>
  <si>
    <t>Торопов Михаил Евгеньевич</t>
  </si>
  <si>
    <t>Козлова Ольга Юрьевна</t>
  </si>
  <si>
    <t>Агапова Галина Александровна</t>
  </si>
  <si>
    <t>Тремасов Александр Николаевич</t>
  </si>
  <si>
    <t>Марков Игорь Анатольевич</t>
  </si>
  <si>
    <t>Солодова Лариса Николаевна</t>
  </si>
  <si>
    <t>Рудавин Андрей Александрович</t>
  </si>
  <si>
    <t>Глазунов Николай Алексеевич</t>
  </si>
  <si>
    <t>Иванова Галина Юрьевна</t>
  </si>
  <si>
    <t>Масловский Андрей Иванович</t>
  </si>
  <si>
    <t>Орлов Сергей Евгеньевич</t>
  </si>
  <si>
    <t>Левашина Галина Алексеевна</t>
  </si>
  <si>
    <t>Орлова Софья Залмановна</t>
  </si>
  <si>
    <t>Сергиенко Андрей Витальевич</t>
  </si>
  <si>
    <t>Безуглова Надежда Павловна</t>
  </si>
  <si>
    <t>Жулина Жанна Николаевна</t>
  </si>
  <si>
    <t>Панин А.А., Невская Н.Г.</t>
  </si>
  <si>
    <t>Абдрахманов Альберт Тукаевич</t>
  </si>
  <si>
    <t>Гаспарян Эдуард Хосровович</t>
  </si>
  <si>
    <t>Орлова Ирина Викторовна</t>
  </si>
  <si>
    <t>Померанцев Леонид Львович</t>
  </si>
  <si>
    <t>Колесников Валерий Николаевич</t>
  </si>
  <si>
    <t>Петров Юрий Дмитриевич</t>
  </si>
  <si>
    <t>Сивохо Любовь Львовна</t>
  </si>
  <si>
    <t>Маметова Джамиля Равильевна</t>
  </si>
  <si>
    <t>Вершинин Александр Владимирович</t>
  </si>
  <si>
    <t>Техан Вячеслав Степанович</t>
  </si>
  <si>
    <t>Джибути Богдан Ягоевич</t>
  </si>
  <si>
    <t>Корнеев Сергей Викторович</t>
  </si>
  <si>
    <t>Багапов Ринат Гатиятович</t>
  </si>
  <si>
    <t>Карташова Ирина Владимировна</t>
  </si>
  <si>
    <t>Приспешкин Андрей Вячеславович</t>
  </si>
  <si>
    <t>Клемешева Лилия Михайловна</t>
  </si>
  <si>
    <t>Сизикова Маргарита Александровна</t>
  </si>
  <si>
    <t>Карпушина Тамара Алексеевна</t>
  </si>
  <si>
    <t>Борисова Элина Вячеславовна</t>
  </si>
  <si>
    <t>Малина Кристина Витальевна</t>
  </si>
  <si>
    <t>Басс Михаил Васильевич</t>
  </si>
  <si>
    <t>Макарян Карине Хореновна</t>
  </si>
  <si>
    <t>Казакова Елена Александровна</t>
  </si>
  <si>
    <t>Юрковская Зоя Вадимовна</t>
  </si>
  <si>
    <t>Романовский Сергей Викторович</t>
  </si>
  <si>
    <t>Карбышев Сергей Анатольевич</t>
  </si>
  <si>
    <t>Макаева Рамиля Алимжановна</t>
  </si>
  <si>
    <t>Акулин Андрей Викторович</t>
  </si>
  <si>
    <t>Пестряков Алексей Николаевич</t>
  </si>
  <si>
    <t>Павлюк Юрий Алексеевич</t>
  </si>
  <si>
    <t>Каграманов Альберт Робертович</t>
  </si>
  <si>
    <t>Ванькович Андрей Андреевич</t>
  </si>
  <si>
    <t>Каграманова Инеса Мнацакановна</t>
  </si>
  <si>
    <t>Тропин Даниил Николаевич</t>
  </si>
  <si>
    <t>Чижова Элина Владимировна</t>
  </si>
  <si>
    <t>Хорольский Роман Анатольевич</t>
  </si>
  <si>
    <t>Самонова Светлана Борисовна</t>
  </si>
  <si>
    <t>Хоточкин Сергей Викторович</t>
  </si>
  <si>
    <t>Горбатых А.И., Жигулина Т.А.</t>
  </si>
  <si>
    <t>Шульга Екатерина Вячеславовна</t>
  </si>
  <si>
    <t>Мозалева Александра Сергеевна</t>
  </si>
  <si>
    <t>Власов Армен Георгиевич</t>
  </si>
  <si>
    <t>Политаев Игорь Петрович</t>
  </si>
  <si>
    <t>Бутенко Иван Павлович</t>
  </si>
  <si>
    <t>Егин Александр Петрович</t>
  </si>
  <si>
    <t>Керопян Нигогос Наслетович</t>
  </si>
  <si>
    <t>Богословский Владимир Александрович</t>
  </si>
  <si>
    <t>Тучин Александр Васильевич</t>
  </si>
  <si>
    <t>Немова Елена Ивановна</t>
  </si>
  <si>
    <t>Шабашова Валентина Владимировна</t>
  </si>
  <si>
    <t>Захарьящева Виктория Викторовна</t>
  </si>
  <si>
    <t>Младенец Ирина Викторовна</t>
  </si>
  <si>
    <t>Дробышев Юрий Викторович</t>
  </si>
  <si>
    <t>Керопян Баграт Наслетович</t>
  </si>
  <si>
    <t>Захарина Галина Валентиновна</t>
  </si>
  <si>
    <t>Тарасова Светлана Евгеньевна</t>
  </si>
  <si>
    <t>Прокопчук Олег Сергеевич</t>
  </si>
  <si>
    <t>Бердиев Ревшен Акмуратович</t>
  </si>
  <si>
    <t>Алексанян Армен Альбертович</t>
  </si>
  <si>
    <t>Куриленок Анжела Васильевна</t>
  </si>
  <si>
    <t>Петухов Петр Никитьевич</t>
  </si>
  <si>
    <t>Хохлова Ирина Дмитриевна</t>
  </si>
  <si>
    <t>Желоболова Ольга Петровна</t>
  </si>
  <si>
    <t>Корнеев Василий Анатольевич</t>
  </si>
  <si>
    <t>Криворотенко Александр Сергеевич</t>
  </si>
  <si>
    <t>Федорова Нина Васильевна</t>
  </si>
  <si>
    <t>Ледина Галина Викторовна</t>
  </si>
  <si>
    <t>Вязев Виктор Иванович</t>
  </si>
  <si>
    <t>Храмков Вадим Геннадьевич</t>
  </si>
  <si>
    <t>Воробьев Николай Петрович</t>
  </si>
  <si>
    <t>Гудкова Елена Анатольевна</t>
  </si>
  <si>
    <t>Устинов Михаил Владимирович</t>
  </si>
  <si>
    <t>Ермолов Алексей Евгеньевич</t>
  </si>
  <si>
    <t>Лебедева Наталья Анатольевна</t>
  </si>
  <si>
    <t>Медведева Антонина Васильевна</t>
  </si>
  <si>
    <t>Елашвили Хана Иосифовна</t>
  </si>
  <si>
    <t>Сайганова Ирина Геннадьевна</t>
  </si>
  <si>
    <t>Даниловский Иван Вячеславович</t>
  </si>
  <si>
    <t>Цедрик Владимир Харитонович</t>
  </si>
  <si>
    <t>Таболин Виктор Иванович</t>
  </si>
  <si>
    <t>Комлев В.И., Перминова Е. В.</t>
  </si>
  <si>
    <t>Смагин Петр Иванович</t>
  </si>
  <si>
    <t>Алиев Рафаил Вахид оглы</t>
  </si>
  <si>
    <t>Волков А.А., Волкова А.А.</t>
  </si>
  <si>
    <t>Невенгловская Людмила  Юрьевна</t>
  </si>
  <si>
    <t>Шульгин С.Б., Шульгина С.А.</t>
  </si>
  <si>
    <t>Козак Ирина Меликовна</t>
  </si>
  <si>
    <t>Рыбаков Максим Евгеньевич</t>
  </si>
  <si>
    <t>Дезорцев Юрий Геннадьевич</t>
  </si>
  <si>
    <t>Ковалев Геннадий Иванович</t>
  </si>
  <si>
    <t>Лысенко И.В., Лысенко А.В.</t>
  </si>
  <si>
    <t>Ефимов Дмитрий Александрович</t>
  </si>
  <si>
    <t>Рузанов Виктор Павлович</t>
  </si>
  <si>
    <t>Глоба Наталия Семеновна</t>
  </si>
  <si>
    <t>Ларионов Алексей Александрович</t>
  </si>
  <si>
    <t>Ткаченко Мария Владимировна</t>
  </si>
  <si>
    <t>Давыдов Александр Владимирович</t>
  </si>
  <si>
    <t>Казанский Алексей Георгиевич</t>
  </si>
  <si>
    <t>Смирнов Александр Анатольевич</t>
  </si>
  <si>
    <t>Чунь Алексей Олегович</t>
  </si>
  <si>
    <t>Подопригора Ксения Валентиновна</t>
  </si>
  <si>
    <t>Морозов Дмитрий Владимирович</t>
  </si>
  <si>
    <t>Новикова Ольга Ивановна</t>
  </si>
  <si>
    <t>Левит Аркадий Олегович</t>
  </si>
  <si>
    <t>Трунов Олег Борисович</t>
  </si>
  <si>
    <t>Самулкин Станислав Сергеевич</t>
  </si>
  <si>
    <t>Дорофеева Ольга Сергеевна</t>
  </si>
  <si>
    <t>Чурсина Оксана Владимировна</t>
  </si>
  <si>
    <t>Айриян Наталья Ивановна</t>
  </si>
  <si>
    <t>Красинец Раиса Алексеевна</t>
  </si>
  <si>
    <t>Андреева Виктория Альбертовна</t>
  </si>
  <si>
    <t>Дзюба Ольга Евгеньевна</t>
  </si>
  <si>
    <t>Акопян Сусан Сарибековна</t>
  </si>
  <si>
    <t>Шушпанов Алексей Васильевич</t>
  </si>
  <si>
    <t>Сергеев Александр Игоревич</t>
  </si>
  <si>
    <t>Громов Павел Вячеславович</t>
  </si>
  <si>
    <t>Ларионов Борис Васильевич</t>
  </si>
  <si>
    <t>Ефимова Юлия Юрьевна</t>
  </si>
  <si>
    <t>Белова Светлана Марковна</t>
  </si>
  <si>
    <t>Дзгоева Мадина Шамилевна</t>
  </si>
  <si>
    <t>Коновалова Татьяна Васильевна</t>
  </si>
  <si>
    <t>Неволин Алексей Анатольевич</t>
  </si>
  <si>
    <t>Мельник Анастасия Сергеевна</t>
  </si>
  <si>
    <t>Алмосова  Наталья Даниловна</t>
  </si>
  <si>
    <t>Гаспарян Нунэ Александровна</t>
  </si>
  <si>
    <t>Соколов Дмитрий Андреевич</t>
  </si>
  <si>
    <t>Игнатьев Андрей Юрьевич</t>
  </si>
  <si>
    <t>Данилов Олег Борисович</t>
  </si>
  <si>
    <t>Астафьева Екатерина Юрьевна</t>
  </si>
  <si>
    <t>Свахина Наталья Николаевна</t>
  </si>
  <si>
    <t>Турукин Игорь Геннадьевич</t>
  </si>
  <si>
    <t>Зайцев П.И., Зайцев И.П.</t>
  </si>
  <si>
    <t>Иванова Валентина Ивановна</t>
  </si>
  <si>
    <t>Елесин Дмитрий Вячеславович</t>
  </si>
  <si>
    <t>Киселевич Зинаида Игоревна</t>
  </si>
  <si>
    <t>Михайлов Валерий Николаевич</t>
  </si>
  <si>
    <t>Крук Алла Владимировна</t>
  </si>
  <si>
    <t>Полякова Елена Юрьевна</t>
  </si>
  <si>
    <t>Валиев Радик Закиевич</t>
  </si>
  <si>
    <t>Андреева Наталья Юрьевна</t>
  </si>
  <si>
    <t>Перепеча Николай Николаевич</t>
  </si>
  <si>
    <t>Сафонов А.И., Сафонова Л.Г.</t>
  </si>
  <si>
    <t>Ксенофонтова Е.В., Ксенофонтов Р. А.</t>
  </si>
  <si>
    <t>Климова Лолита Валентиновна</t>
  </si>
  <si>
    <t>Иванов Дмитрий Николаевич</t>
  </si>
  <si>
    <t>Савицкая Людмила Юрьевна</t>
  </si>
  <si>
    <t>Землякова Надежда Алексеевна</t>
  </si>
  <si>
    <t>Фадеев Евгений Викторович</t>
  </si>
  <si>
    <t>Большедворский Александр Григорьевич</t>
  </si>
  <si>
    <t>Киселева Ольга Ивановна</t>
  </si>
  <si>
    <t>Акопян Михаил Абович</t>
  </si>
  <si>
    <t>Зайцева Наталья Игоревна</t>
  </si>
  <si>
    <t>Табунов Игорь Владимирович</t>
  </si>
  <si>
    <t>Дряннов Александр Павлович</t>
  </si>
  <si>
    <t>Холдобова Татьяна Вениаминовна</t>
  </si>
  <si>
    <t>Лысенко Евгений Евгеньевич</t>
  </si>
  <si>
    <t>Малахов Игорь Николаевич</t>
  </si>
  <si>
    <t>Киселева Елена Сергеевна</t>
  </si>
  <si>
    <t>Нестеренко Александр Анатольевич</t>
  </si>
  <si>
    <t>Майборода Олег Григорьевич</t>
  </si>
  <si>
    <t>Имамова Лилия Марсельевна</t>
  </si>
  <si>
    <t>Кияшко Ирина Васильевна</t>
  </si>
  <si>
    <t>Антонова Юлия Вячеславовна</t>
  </si>
  <si>
    <t>Скорняков Вячеслав Викторович</t>
  </si>
  <si>
    <t>Астатурян Нара Жораевна</t>
  </si>
  <si>
    <t>Журбенко Юрий Иванович</t>
  </si>
  <si>
    <t>Варакина Любовь Васильевна</t>
  </si>
  <si>
    <t>Волчихина Ольга Андреевна</t>
  </si>
  <si>
    <t>Смирнова Н.В., Бабаев А.В.</t>
  </si>
  <si>
    <t>12382804-12</t>
  </si>
  <si>
    <t>07 и 08 помещение</t>
  </si>
  <si>
    <t>9 помещение</t>
  </si>
  <si>
    <t xml:space="preserve"> кв.м. - площадь всех помещений, находящихся в собственности в МКД.</t>
  </si>
  <si>
    <t>кв.м. - площадь всех помещений, находящихся в собственности в МКД.</t>
  </si>
  <si>
    <t>Подвал/секция 2</t>
  </si>
  <si>
    <t>Коммунальная услуга</t>
  </si>
  <si>
    <t>тариф, руб.</t>
  </si>
  <si>
    <r>
      <rPr>
        <sz val="8"/>
        <rFont val="Arial Cyr"/>
        <charset val="204"/>
      </rPr>
      <t>Кавыршин С.В.</t>
    </r>
    <r>
      <rPr>
        <sz val="7"/>
        <rFont val="Arial Cyr"/>
        <charset val="204"/>
      </rPr>
      <t xml:space="preserve">                    494-93-66 (8 925-505-32-65)</t>
    </r>
  </si>
  <si>
    <t>Кол-во</t>
  </si>
  <si>
    <t>Холодное водоснабжение, куб.м.</t>
  </si>
  <si>
    <t>Горячее водоснабжение, куб.м.</t>
  </si>
  <si>
    <t>Водоотведение, куб.м.</t>
  </si>
  <si>
    <t>14318607-13</t>
  </si>
  <si>
    <t>5/ 164</t>
  </si>
  <si>
    <t xml:space="preserve">4 х 31 сут = 124 кВт-ч                           </t>
  </si>
  <si>
    <t>Из них Жилье</t>
  </si>
  <si>
    <t>_______________________ Хольнов А.И.</t>
  </si>
  <si>
    <t>Фролов Е.М.</t>
  </si>
  <si>
    <t>с 12.12.12</t>
  </si>
  <si>
    <t>Уст. новый 02.2014г.</t>
  </si>
  <si>
    <t>Пом. 41 подвал корп. 2</t>
  </si>
  <si>
    <t>Никуленко О.О. (НП)</t>
  </si>
  <si>
    <t>ВСЕГО с ОДН</t>
  </si>
  <si>
    <t>пом. 42, 43 подвал корп. 2</t>
  </si>
  <si>
    <t>00580617-06</t>
  </si>
  <si>
    <t>17148681-13</t>
  </si>
  <si>
    <t>Ишмурзина Альбина Рифкатовна</t>
  </si>
  <si>
    <t>Бочкарёв Валерий Викторович</t>
  </si>
  <si>
    <t>не раб.</t>
  </si>
  <si>
    <t>Уст</t>
  </si>
  <si>
    <t>Пом.1-5 подвал корп. 2 оф. 5"А"</t>
  </si>
  <si>
    <t>Свободная площадь</t>
  </si>
  <si>
    <t>1/ 10</t>
  </si>
  <si>
    <t>2/106</t>
  </si>
  <si>
    <t>Председатель правления ТСЖ "ДУБКИ"</t>
  </si>
  <si>
    <t>Счетчик не работает           Сред. 270 кВт-ч/ мес.</t>
  </si>
  <si>
    <t>Пом. 40 подвал корп. 2</t>
  </si>
  <si>
    <t>Пом. 39 подвал корп. 2</t>
  </si>
  <si>
    <t>замена 14.07.2014</t>
  </si>
  <si>
    <t>Счетчик не работает           Сред. 255 кВт-ч/ мес.</t>
  </si>
  <si>
    <t>Борисов Денис Александрович</t>
  </si>
  <si>
    <t>Счетчик не работает           Сред. 320 кВт-ч/ мес.</t>
  </si>
  <si>
    <t>Алиева Наталья Александровна</t>
  </si>
  <si>
    <t>Розбицкая Дина Григорьевна</t>
  </si>
  <si>
    <t>Липченко Вероника Александровна</t>
  </si>
  <si>
    <t>00378838-05</t>
  </si>
  <si>
    <t>14236302-13</t>
  </si>
  <si>
    <t>90</t>
  </si>
  <si>
    <t>21719646-14</t>
  </si>
  <si>
    <t>21917828-15</t>
  </si>
  <si>
    <t>ИТОГО</t>
  </si>
  <si>
    <t>Распределяем по корпусам</t>
  </si>
  <si>
    <t>корпус 1</t>
  </si>
  <si>
    <t>корпус 2</t>
  </si>
  <si>
    <t>корпус 3</t>
  </si>
  <si>
    <t>корпус 4, 5, 6</t>
  </si>
  <si>
    <t>кв.м.</t>
  </si>
  <si>
    <t>кВт/ч</t>
  </si>
  <si>
    <t xml:space="preserve">    Этаж 6</t>
  </si>
  <si>
    <t>Журавлёва Анастасия Вадимовна</t>
  </si>
  <si>
    <t>№ 21-с.3-Ф    эт.1/дв.13 оф.4А</t>
  </si>
  <si>
    <t>Администрация</t>
  </si>
  <si>
    <t>УНАгИ-МАКИ Киричок Андрей 8-925-518-27-95</t>
  </si>
  <si>
    <t>27634281-16</t>
  </si>
  <si>
    <t>Теплоснабжение, Гкал</t>
  </si>
  <si>
    <t>Аппарат Вода</t>
  </si>
  <si>
    <t>ИП Орликов Д.</t>
  </si>
  <si>
    <t>Докин Александр Николаевич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</si>
  <si>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</si>
  <si>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</si>
  <si>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</si>
  <si>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</si>
  <si>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</si>
  <si>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</si>
  <si>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</si>
  <si>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</si>
  <si>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</si>
  <si>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</si>
  <si>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</si>
  <si>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</si>
  <si>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</si>
  <si>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</si>
  <si>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</si>
  <si>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</si>
  <si>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</si>
  <si>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</si>
  <si>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</si>
  <si>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</si>
  <si>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</si>
  <si>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4</t>
  </si>
  <si>
    <t>Корпус 5</t>
  </si>
  <si>
    <t>Всего ЖК</t>
  </si>
  <si>
    <t>Основание - норматив согласно распоряжения Министерства ЖКХ МО от 20.10.2016 г. №200-РВ</t>
  </si>
  <si>
    <t>или</t>
  </si>
  <si>
    <t>Норматив электроснабжения на ОДН, кВт/ч</t>
  </si>
  <si>
    <t>Корпус 7</t>
  </si>
  <si>
    <r>
      <t xml:space="preserve"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</t>
    </r>
    <r>
      <rPr>
        <sz val="18"/>
        <rFont val="Arial Cyr"/>
        <family val="2"/>
        <charset val="204"/>
      </rPr>
      <t>корп. 1</t>
    </r>
  </si>
  <si>
    <r>
      <t xml:space="preserve">на сайте ТСЖ "ДУБКИ" </t>
    </r>
    <r>
      <rPr>
        <b/>
        <sz val="10"/>
        <rFont val="Arial Cyr"/>
        <family val="2"/>
        <charset val="204"/>
      </rPr>
      <t>www.tsj-dubki.ru</t>
    </r>
  </si>
  <si>
    <t>закрыто ср.зн.100 кВт/ч</t>
  </si>
  <si>
    <t>Марчук А.П.</t>
  </si>
  <si>
    <t>Автостоянка корп. 6</t>
  </si>
  <si>
    <t>Голубева Н.С.</t>
  </si>
  <si>
    <t>Павочкина В.Т.</t>
  </si>
  <si>
    <t>Автостоянка      № 1,2</t>
  </si>
  <si>
    <t>Норматив, кВт/ч</t>
  </si>
  <si>
    <t>Счет ООО "Мосэнергосбыт"</t>
  </si>
  <si>
    <t>Итого по ЖК</t>
  </si>
  <si>
    <t>Норматив для МКД</t>
  </si>
  <si>
    <t>Общая S, кв.м.</t>
  </si>
  <si>
    <t>Площадь в собственности, кв.м.</t>
  </si>
  <si>
    <t>Расчетная S, кв.м.</t>
  </si>
  <si>
    <t>Расход электроэнергии по нормативам для МКД, кВт/ч</t>
  </si>
  <si>
    <t>Сумма всех ИПУ электроэнергии ЖК, в том числе</t>
  </si>
  <si>
    <t>ИП Соколинская</t>
  </si>
  <si>
    <t>Ласкова Т.</t>
  </si>
  <si>
    <t>офис 6А Художники Ласкова Т. (ОДН)</t>
  </si>
  <si>
    <t>Шишлова И.Н.</t>
  </si>
  <si>
    <t>Роман дворник</t>
  </si>
  <si>
    <t>Этаж 1 (н.п. 1)</t>
  </si>
  <si>
    <t>Этаж 1 (н.п. 2)</t>
  </si>
  <si>
    <t>Этаж 1 (н.п. 3)</t>
  </si>
  <si>
    <t>29993313</t>
  </si>
  <si>
    <t>29993646</t>
  </si>
  <si>
    <t>29993290</t>
  </si>
  <si>
    <t>29993615</t>
  </si>
  <si>
    <t>29993962</t>
  </si>
  <si>
    <t>29993111</t>
  </si>
  <si>
    <t>32373717-17</t>
  </si>
  <si>
    <t>Норматив, куб.м.</t>
  </si>
  <si>
    <t>Расход холодного водоснабжения по нормативам для МКД, куб.м.</t>
  </si>
  <si>
    <t>Размер оплаты холодное водоснабжение ОДН, куб.м./кв.м.</t>
  </si>
  <si>
    <t>Подвал и чердаки, кв.м.</t>
  </si>
  <si>
    <t>Установ.03.02.18</t>
  </si>
  <si>
    <t>Дробенко В.П.                                         8-916-343-59-04</t>
  </si>
  <si>
    <t>33542560-18</t>
  </si>
  <si>
    <t>33479297-18</t>
  </si>
  <si>
    <t>32246057-18</t>
  </si>
  <si>
    <t>32246050-18</t>
  </si>
  <si>
    <t>33119163-18</t>
  </si>
  <si>
    <t>33413036-18</t>
  </si>
  <si>
    <t>Голубева Н.С.             (Овощной)</t>
  </si>
  <si>
    <t>ОАО "Центральный телеграф" (ОДН)</t>
  </si>
  <si>
    <t>Соколинская И.Ю. (ОДН)</t>
  </si>
  <si>
    <t>Шишлова И.Н. (ОДН)</t>
  </si>
  <si>
    <t xml:space="preserve">Роман дворник (ОДН)                  </t>
  </si>
  <si>
    <t>Правление (ОДН)</t>
  </si>
  <si>
    <t>ОДН итого</t>
  </si>
  <si>
    <t>34039063-18</t>
  </si>
  <si>
    <t>34035289-18</t>
  </si>
  <si>
    <t>33780226-18</t>
  </si>
  <si>
    <t>34034904-18</t>
  </si>
  <si>
    <t>33953369-18</t>
  </si>
  <si>
    <t>Бурдина Ольга Раф.                          8-915-221-32-53</t>
  </si>
  <si>
    <t>32537264-18</t>
  </si>
  <si>
    <t>Прачечная</t>
  </si>
  <si>
    <t>33954502-18</t>
  </si>
  <si>
    <t>Эздекова А.А.</t>
  </si>
  <si>
    <t>33955422-18</t>
  </si>
  <si>
    <t>Урванцева Ирина Анат.                          8-906-734-12-44/ эл.авт.№ 8</t>
  </si>
  <si>
    <t>Галоганов А.П.</t>
  </si>
  <si>
    <t>Кочерженко И.С.             Оля  8 903 169 47 45</t>
  </si>
  <si>
    <t>34238063-18</t>
  </si>
  <si>
    <t>33953444-18</t>
  </si>
  <si>
    <t>32963658-18</t>
  </si>
  <si>
    <t>34238012-18</t>
  </si>
  <si>
    <t>33614624-18</t>
  </si>
  <si>
    <t>33614763-18</t>
  </si>
  <si>
    <t>33614605-18</t>
  </si>
  <si>
    <t>33614676-18</t>
  </si>
  <si>
    <t>31797935-17</t>
  </si>
  <si>
    <t>31051073-17</t>
  </si>
  <si>
    <t>Из них ОДН, ИТП и ВНС</t>
  </si>
  <si>
    <t>01/с.1-Ф     эт.1/дв.11</t>
  </si>
  <si>
    <t>14/с.4/5-Ф  эт.2/дв.15;23</t>
  </si>
  <si>
    <t>11/с.5-Ф   эт.2/дв.27</t>
  </si>
  <si>
    <t>Марчук Алексей Павл.         580-03-89</t>
  </si>
  <si>
    <t>Марчук Алексей Павл.           8-903-125-08-12</t>
  </si>
  <si>
    <t>Марчук Алексей Павл.           8-903-125-08-14</t>
  </si>
  <si>
    <t>Борисова Оксана               8-962-937-63-89, 8-926-937-63-88</t>
  </si>
  <si>
    <t>34244040-18</t>
  </si>
  <si>
    <t>Баландин Николай                                                                   8 985 763 75 76/эл.авт.№ 9</t>
  </si>
  <si>
    <t>33598297-18</t>
  </si>
  <si>
    <t>Гасилов Виктор Роман.                                    8-916-758-72-30</t>
  </si>
  <si>
    <t>34234685-18</t>
  </si>
  <si>
    <t>Ходыкина Г.И.                      796-50-80</t>
  </si>
  <si>
    <t>34245100-18</t>
  </si>
  <si>
    <t>32490439-18</t>
  </si>
  <si>
    <t>Установ. 11.05.18</t>
  </si>
  <si>
    <t>Установ. 28.04.18</t>
  </si>
  <si>
    <t>34021304-18</t>
  </si>
  <si>
    <t>33639859-18</t>
  </si>
  <si>
    <t>Пронина Н.В.                         Олег Валер.   728-01-44</t>
  </si>
  <si>
    <t>33377962-18</t>
  </si>
  <si>
    <t>Ладонина М.Ф.                                         8-903-111-97-06</t>
  </si>
  <si>
    <t>34579628-18</t>
  </si>
  <si>
    <t>Договор</t>
  </si>
  <si>
    <t>Акт</t>
  </si>
  <si>
    <t>05/с.2-Ф  эт.2/дв.25</t>
  </si>
  <si>
    <t>12/с.3-Ф                  эт.2/дв.3</t>
  </si>
  <si>
    <t>18/с.3-Г                      эт.2/дв.5</t>
  </si>
  <si>
    <t>34702500-18</t>
  </si>
  <si>
    <t>Расчет нормативов ОДН по холодному водоснабжению многоквартирного жилого комплекса "Дубки"</t>
  </si>
  <si>
    <t>Расчет нормативов ОДН по горячему водоснабжению многоквартирного жилого комплекса "Дубки"</t>
  </si>
  <si>
    <t>Расчет нормативов ОДН по водоотведению многоквартирного жилого комплекса "Дубки"</t>
  </si>
  <si>
    <t>Размер оплаты электроснабжение ОДН, кВт*ч/кв.м.</t>
  </si>
  <si>
    <t>Расчет норматива по электроснабжению на общедомовые нужды между всеми помещениями жилого комплекса "Дубки"</t>
  </si>
  <si>
    <t>34035688-18</t>
  </si>
  <si>
    <t>34427884-18</t>
  </si>
  <si>
    <t>33088386-18</t>
  </si>
  <si>
    <t>34440123-18</t>
  </si>
  <si>
    <t>34361961-18</t>
  </si>
  <si>
    <t>34365881-18</t>
  </si>
  <si>
    <t>34403540-18</t>
  </si>
  <si>
    <t>34436313-18</t>
  </si>
  <si>
    <t>34615406-18</t>
  </si>
  <si>
    <t>34713943-18</t>
  </si>
  <si>
    <t>Насосная пожаротушения</t>
  </si>
  <si>
    <t>13/с.3-Ф   эт.2/дв.1;3</t>
  </si>
  <si>
    <t xml:space="preserve">    Клемешева Л.М.                    8-916-173-83-94</t>
  </si>
  <si>
    <t>122379935-18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</si>
  <si>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</si>
  <si>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</si>
  <si>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</si>
  <si>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3 Гараж</t>
  </si>
  <si>
    <t>69</t>
  </si>
  <si>
    <t>34031248-18</t>
  </si>
  <si>
    <t>19</t>
  </si>
  <si>
    <t>17/с.4-Г                   эт.2/дв.3</t>
  </si>
  <si>
    <t>Парикмахерская "Семей"                          8 915 324 43 64/эл.авт. № 6</t>
  </si>
  <si>
    <t>33004849-17</t>
  </si>
  <si>
    <t>15/с.5-Ф  эт.2/дв.22</t>
  </si>
  <si>
    <t>Волчихина О.А.                        8-906-735-86-11</t>
  </si>
  <si>
    <t>30621511-18  (к. 1)</t>
  </si>
  <si>
    <t>30621523-18 (к. 2)</t>
  </si>
  <si>
    <t>32348711-17</t>
  </si>
  <si>
    <t>32519315-17</t>
  </si>
  <si>
    <t>32350846-17</t>
  </si>
  <si>
    <t>32391977-18</t>
  </si>
  <si>
    <t>34644188-18</t>
  </si>
  <si>
    <t>10/с.5-Ф    эт.1/дв.17;19</t>
  </si>
  <si>
    <t>АКТ</t>
  </si>
  <si>
    <t>Филонова Л.М.                                   573-41-01</t>
  </si>
  <si>
    <t>35366213-18</t>
  </si>
  <si>
    <t>34612175-18</t>
  </si>
  <si>
    <t>34465866-18</t>
  </si>
  <si>
    <t>Автостоянка      № 1</t>
  </si>
  <si>
    <t>Автостоянка      № 2</t>
  </si>
  <si>
    <t>Автостоянка Н/П №2</t>
  </si>
  <si>
    <t>Автостоянка Н/П №1</t>
  </si>
  <si>
    <t>Автостоянка Н/П №3</t>
  </si>
  <si>
    <t>33994473-18</t>
  </si>
  <si>
    <t>35139456-18</t>
  </si>
  <si>
    <t>Березовская Д.В.                  8-916-263-34-33</t>
  </si>
  <si>
    <t>35299603-18</t>
  </si>
  <si>
    <t>не живут</t>
  </si>
  <si>
    <t>Здобнин Михаил Юрьевич</t>
  </si>
  <si>
    <t>Савинов Александр Андреевич</t>
  </si>
  <si>
    <t>02/с.1/2-Ф      эт.1/дв.9</t>
  </si>
  <si>
    <t>04/с.1-Г                 эт.2/дв.24</t>
  </si>
  <si>
    <t>35107980-18</t>
  </si>
  <si>
    <t>35175914-18</t>
  </si>
  <si>
    <t>35459411-18</t>
  </si>
  <si>
    <t>35160602-18</t>
  </si>
  <si>
    <t>35107904-18</t>
  </si>
  <si>
    <t>35175968-18</t>
  </si>
  <si>
    <t>19533465-14</t>
  </si>
  <si>
    <t>32256200-17</t>
  </si>
  <si>
    <t>26425045-16</t>
  </si>
  <si>
    <t>32255439-17</t>
  </si>
  <si>
    <t>92</t>
  </si>
  <si>
    <t>109</t>
  </si>
  <si>
    <t>36655629-18</t>
  </si>
  <si>
    <t>36395279-18</t>
  </si>
  <si>
    <t>36123417-18</t>
  </si>
  <si>
    <t>35191312-18</t>
  </si>
  <si>
    <t>36448178-18</t>
  </si>
  <si>
    <t>60</t>
  </si>
  <si>
    <t>36411482-18</t>
  </si>
  <si>
    <t>36977866-19</t>
  </si>
  <si>
    <t>Электроэнергия ИТП, кВт/ч</t>
  </si>
  <si>
    <t>36070299-19</t>
  </si>
  <si>
    <t>37232181-19</t>
  </si>
  <si>
    <t>37174446-19</t>
  </si>
  <si>
    <t>Подвал галерея 2 подъезд</t>
  </si>
  <si>
    <t>Подвал галерея 4 подъезд</t>
  </si>
  <si>
    <t>37174893-19</t>
  </si>
  <si>
    <t>Подвал корпуса 1</t>
  </si>
  <si>
    <t>37174675-19</t>
  </si>
  <si>
    <t>Эт. №24</t>
  </si>
  <si>
    <t>Сербул Сергей Анатольевич</t>
  </si>
  <si>
    <t>37550570-19</t>
  </si>
  <si>
    <t>187</t>
  </si>
  <si>
    <t>37587922-19</t>
  </si>
  <si>
    <t>38204502-19</t>
  </si>
  <si>
    <t>38263552-19</t>
  </si>
  <si>
    <t>38508718-19</t>
  </si>
  <si>
    <t>38262994-19</t>
  </si>
  <si>
    <t>уст. 10.07.19</t>
  </si>
  <si>
    <t>38275076-19</t>
  </si>
  <si>
    <t>уст. 30.06.19</t>
  </si>
  <si>
    <t>Милокостов Р.В.,Милокостова И.Г.</t>
  </si>
  <si>
    <t>38421982-19</t>
  </si>
  <si>
    <t>37196061-19</t>
  </si>
  <si>
    <t>38886701-19</t>
  </si>
  <si>
    <t>аварийная лестница из. к. 3 в к.4</t>
  </si>
  <si>
    <t>Запасной выход</t>
  </si>
  <si>
    <t>38860707-19</t>
  </si>
  <si>
    <t>36714834-19    10.12.19</t>
  </si>
  <si>
    <t>39602215-19</t>
  </si>
  <si>
    <t>40851463-20</t>
  </si>
  <si>
    <t>на даче</t>
  </si>
  <si>
    <t>40351453-20</t>
  </si>
  <si>
    <t>39842469-20</t>
  </si>
  <si>
    <t>Абрашина Ольга Васильевна</t>
  </si>
  <si>
    <t>Киришко С.  эл.авт.№ 4</t>
  </si>
  <si>
    <t>17124350-13</t>
  </si>
  <si>
    <t>14498307-13</t>
  </si>
  <si>
    <t>41486841-20</t>
  </si>
  <si>
    <t>Калинина О. А.</t>
  </si>
  <si>
    <t>март</t>
  </si>
  <si>
    <t>апрель</t>
  </si>
  <si>
    <t>Месяц</t>
  </si>
  <si>
    <t>Перерасчет за март и апрель 2020 года, рубли</t>
  </si>
  <si>
    <t>начислено в платежке</t>
  </si>
  <si>
    <t>перерасчет в платежке</t>
  </si>
  <si>
    <t>Сальдо расчетов по платежке</t>
  </si>
  <si>
    <t>Требовалось начислить по расчету</t>
  </si>
  <si>
    <t>3=1-2</t>
  </si>
  <si>
    <t>перерасчет май (4-3) доначислить</t>
  </si>
  <si>
    <t>107</t>
  </si>
  <si>
    <t>41133394-20</t>
  </si>
  <si>
    <t>41316431-20</t>
  </si>
  <si>
    <t>41280921-20</t>
  </si>
  <si>
    <t>41418315-20</t>
  </si>
  <si>
    <t>41422346-20</t>
  </si>
  <si>
    <t>154</t>
  </si>
  <si>
    <t>41642371-20</t>
  </si>
  <si>
    <t>41658382-20</t>
  </si>
  <si>
    <t>42069428-20</t>
  </si>
  <si>
    <t>41677029-20</t>
  </si>
  <si>
    <t>41671499-20</t>
  </si>
  <si>
    <t>84</t>
  </si>
  <si>
    <t>43035693-20</t>
  </si>
  <si>
    <t>замена 09.12.20</t>
  </si>
  <si>
    <t>42923651-20</t>
  </si>
  <si>
    <t>РЕСО-Гарантия</t>
  </si>
  <si>
    <t>Стоянка №1</t>
  </si>
  <si>
    <t>Стоянка №2</t>
  </si>
  <si>
    <t>замена 23.12.20</t>
  </si>
  <si>
    <t>42737049-20</t>
  </si>
  <si>
    <t>42853801-20</t>
  </si>
  <si>
    <t>Розбицкий Г.Т.</t>
  </si>
  <si>
    <t xml:space="preserve">Шторы (ОДН) </t>
  </si>
  <si>
    <t>Животкова Юлия Михайловна</t>
  </si>
  <si>
    <t>Ибрагимов Саид Магомедович</t>
  </si>
  <si>
    <t>42833949-21</t>
  </si>
  <si>
    <t>43602158-21</t>
  </si>
  <si>
    <t>Куриленок Владимир Константинович</t>
  </si>
  <si>
    <t>Странгуль Е.Е.</t>
  </si>
  <si>
    <t>Фролов П.Н.</t>
  </si>
  <si>
    <t>Шуравин Андрей Вячеславович</t>
  </si>
  <si>
    <t>Каменко А.В.</t>
  </si>
  <si>
    <t>Спрогис Л.Г.</t>
  </si>
  <si>
    <t>Евдокимова В.А.</t>
  </si>
  <si>
    <t>Гапеенко Г.Д.</t>
  </si>
  <si>
    <t>Карасева Г.П.</t>
  </si>
  <si>
    <t>Семенова Е.П.</t>
  </si>
  <si>
    <t>Денисенко М.Г.</t>
  </si>
  <si>
    <t>Сочинская Н.И.</t>
  </si>
  <si>
    <t>Маликова М.Ю.</t>
  </si>
  <si>
    <t>Конева В.С.</t>
  </si>
  <si>
    <t>Семенюк В.А.</t>
  </si>
  <si>
    <t>Борисанова М.А.</t>
  </si>
  <si>
    <t>Уварова Ирина Анатольевна</t>
  </si>
  <si>
    <t>Бакуменко М.С.</t>
  </si>
  <si>
    <t>Титова Г.Д.</t>
  </si>
  <si>
    <t>Чумак Ю.В.</t>
  </si>
  <si>
    <t>Гук Е.Д.</t>
  </si>
  <si>
    <t>Акопян С.З.</t>
  </si>
  <si>
    <t>Назарова Н.Н.</t>
  </si>
  <si>
    <t>Байло А.С.</t>
  </si>
  <si>
    <t>Шелехов В.Н.</t>
  </si>
  <si>
    <t>Джуман Н.И.</t>
  </si>
  <si>
    <t>16216-13</t>
  </si>
  <si>
    <t>27641875-16</t>
  </si>
  <si>
    <t>25161974-16</t>
  </si>
  <si>
    <t>10453787-12</t>
  </si>
  <si>
    <t>31205401-17</t>
  </si>
  <si>
    <t>43602098-21</t>
  </si>
  <si>
    <t>26716661-16</t>
  </si>
  <si>
    <t>28166336-16</t>
  </si>
  <si>
    <t>22219490-15</t>
  </si>
  <si>
    <t>19904342-14</t>
  </si>
  <si>
    <t>25263550-16</t>
  </si>
  <si>
    <t>23692259-15</t>
  </si>
  <si>
    <t>19353109-14</t>
  </si>
  <si>
    <t>22967257-15</t>
  </si>
  <si>
    <t xml:space="preserve">00503042-06 </t>
  </si>
  <si>
    <t>14540911-13</t>
  </si>
  <si>
    <t>30023285-17</t>
  </si>
  <si>
    <t>25156027-16</t>
  </si>
  <si>
    <t>25230552-16</t>
  </si>
  <si>
    <t>28083304-16</t>
  </si>
  <si>
    <t>26424570-16</t>
  </si>
  <si>
    <t>22154442-15</t>
  </si>
  <si>
    <t>18964612-14</t>
  </si>
  <si>
    <t>20500250-14</t>
  </si>
  <si>
    <t>16308929-13</t>
  </si>
  <si>
    <t>25160317-16</t>
  </si>
  <si>
    <t>19565305-14</t>
  </si>
  <si>
    <t>26638242-16</t>
  </si>
  <si>
    <t>20510715-14</t>
  </si>
  <si>
    <t>32261607-17</t>
  </si>
  <si>
    <t>28846954-16</t>
  </si>
  <si>
    <t>32034595-17</t>
  </si>
  <si>
    <t>29642683-17</t>
  </si>
  <si>
    <t>18933715-14</t>
  </si>
  <si>
    <t>14225046-13</t>
  </si>
  <si>
    <t>21507940-15</t>
  </si>
  <si>
    <t>17335181-14</t>
  </si>
  <si>
    <t>19339866-14</t>
  </si>
  <si>
    <t>23582792-15</t>
  </si>
  <si>
    <t>20512138-14</t>
  </si>
  <si>
    <t>20027676-14</t>
  </si>
  <si>
    <t>1786426-14</t>
  </si>
  <si>
    <t>17876039-14</t>
  </si>
  <si>
    <t>23191960-15</t>
  </si>
  <si>
    <t>Белобородова Т.А.</t>
  </si>
  <si>
    <t>Сарапин Павел Ефимович</t>
  </si>
  <si>
    <t>Летин М.А.</t>
  </si>
  <si>
    <t>Гришенкова Н.Г.</t>
  </si>
  <si>
    <t>18819929-14</t>
  </si>
  <si>
    <t>23749732-15</t>
  </si>
  <si>
    <t>14568568-13</t>
  </si>
  <si>
    <t>22218289-15</t>
  </si>
  <si>
    <t>502989-6</t>
  </si>
  <si>
    <t>27727551-16</t>
  </si>
  <si>
    <t>26415828-16</t>
  </si>
  <si>
    <t>16418223-13</t>
  </si>
  <si>
    <t>32034471-17</t>
  </si>
  <si>
    <t>31865202-17</t>
  </si>
  <si>
    <t>16611953-13</t>
  </si>
  <si>
    <t>22219564-15</t>
  </si>
  <si>
    <t>19352007-14</t>
  </si>
  <si>
    <t>22214358-15</t>
  </si>
  <si>
    <t>15243725-05</t>
  </si>
  <si>
    <t>Чудин Д.В.</t>
  </si>
  <si>
    <t>Велиева П.Р.</t>
  </si>
  <si>
    <t>Комисаров К.В.</t>
  </si>
  <si>
    <t>Санченко Д.А.</t>
  </si>
  <si>
    <t>Ковалев А.Д.</t>
  </si>
  <si>
    <t>Чтчян В.К.</t>
  </si>
  <si>
    <t>Ковалева Н.В.</t>
  </si>
  <si>
    <t>Преображенская Т.А.</t>
  </si>
  <si>
    <t>Логинова Б.Г.</t>
  </si>
  <si>
    <t>Абрашина В.А.</t>
  </si>
  <si>
    <t>Меклер Т.М.</t>
  </si>
  <si>
    <t>Тумасьева Ю.И.</t>
  </si>
  <si>
    <t>24335286-15</t>
  </si>
  <si>
    <t>26423560-16</t>
  </si>
  <si>
    <t>28314632-16</t>
  </si>
  <si>
    <t>31825454-17</t>
  </si>
  <si>
    <t>22218687-15</t>
  </si>
  <si>
    <t>26424703-16</t>
  </si>
  <si>
    <t>16319790-13</t>
  </si>
  <si>
    <t>25159836-16</t>
  </si>
  <si>
    <t>151925980-13</t>
  </si>
  <si>
    <t>26625613-16</t>
  </si>
  <si>
    <t>20091504-14</t>
  </si>
  <si>
    <t>20512124-16</t>
  </si>
  <si>
    <t>24623919-18</t>
  </si>
  <si>
    <t>198720047-14</t>
  </si>
  <si>
    <t>32111635-17</t>
  </si>
  <si>
    <t>00516142-05</t>
  </si>
  <si>
    <t>29248240-17</t>
  </si>
  <si>
    <t>28146987-16</t>
  </si>
  <si>
    <t>29749936-17</t>
  </si>
  <si>
    <t>25146771-16</t>
  </si>
  <si>
    <t>20488111-14</t>
  </si>
  <si>
    <t>33414142-18</t>
  </si>
  <si>
    <t>18622062-14</t>
  </si>
  <si>
    <t>Ким П.Т.</t>
  </si>
  <si>
    <t>Климовских А.В.</t>
  </si>
  <si>
    <t>Цыдренкова И.Д.</t>
  </si>
  <si>
    <t>Волкова О.А.</t>
  </si>
  <si>
    <t>Писарева Е.И.</t>
  </si>
  <si>
    <t>Евсеева М.В.</t>
  </si>
  <si>
    <t>Тараторина Т.В.</t>
  </si>
  <si>
    <t>25235248-16</t>
  </si>
  <si>
    <t>31865158-17</t>
  </si>
  <si>
    <t>15438829-13</t>
  </si>
  <si>
    <t>17811893-14</t>
  </si>
  <si>
    <t>24321425-15</t>
  </si>
  <si>
    <t>376955-05</t>
  </si>
  <si>
    <t>20306157-14</t>
  </si>
  <si>
    <t>23087292-15</t>
  </si>
  <si>
    <t>22193134-15</t>
  </si>
  <si>
    <t>18910602-14</t>
  </si>
  <si>
    <t>26634617-16</t>
  </si>
  <si>
    <t>0249669-05</t>
  </si>
  <si>
    <t>30165117-17</t>
  </si>
  <si>
    <t>00379790-05</t>
  </si>
  <si>
    <t>17815057-14</t>
  </si>
  <si>
    <t>20066574-14</t>
  </si>
  <si>
    <t>25161824-16</t>
  </si>
  <si>
    <t>17864919-14</t>
  </si>
  <si>
    <t>00379104-05</t>
  </si>
  <si>
    <t>23337831-15</t>
  </si>
  <si>
    <t>43825747-21</t>
  </si>
  <si>
    <t>01298657-07</t>
  </si>
  <si>
    <t>00379650-05</t>
  </si>
  <si>
    <t>00380757-05</t>
  </si>
  <si>
    <t>00377357-05</t>
  </si>
  <si>
    <t>23296844-15</t>
  </si>
  <si>
    <t>16571975-13</t>
  </si>
  <si>
    <t>19352395-14</t>
  </si>
  <si>
    <t>Прокуронова Наталья Александровна</t>
  </si>
  <si>
    <t>Евдокимова Наталья Валерьевна</t>
  </si>
  <si>
    <t>Борискина Наталья Владимировна</t>
  </si>
  <si>
    <t>Пустовойт  Иван Александрович</t>
  </si>
  <si>
    <t>Селезнев Илья Владимирович</t>
  </si>
  <si>
    <t>28074731-16</t>
  </si>
  <si>
    <t>26733229-16</t>
  </si>
  <si>
    <t>1410996-13</t>
  </si>
  <si>
    <t>20048648-14</t>
  </si>
  <si>
    <t>26624370-16</t>
  </si>
  <si>
    <t>16213199-13</t>
  </si>
  <si>
    <t>19356901-14</t>
  </si>
  <si>
    <t>14312652-13</t>
  </si>
  <si>
    <t>16372096-13</t>
  </si>
  <si>
    <t>16307529-13</t>
  </si>
  <si>
    <t>00377003-05</t>
  </si>
  <si>
    <t>02232588-08</t>
  </si>
  <si>
    <t>16312194-13</t>
  </si>
  <si>
    <t>19872138-14</t>
  </si>
  <si>
    <t>28847755-16</t>
  </si>
  <si>
    <t>28127173-16</t>
  </si>
  <si>
    <t>18592961-14</t>
  </si>
  <si>
    <t>32609879-17</t>
  </si>
  <si>
    <t>32222265-17</t>
  </si>
  <si>
    <t>25840122-16</t>
  </si>
  <si>
    <t>23612707-15</t>
  </si>
  <si>
    <t xml:space="preserve">689506-07 </t>
  </si>
  <si>
    <t>164182293-13</t>
  </si>
  <si>
    <t>29248259-17</t>
  </si>
  <si>
    <t>29811404-17</t>
  </si>
  <si>
    <t>0253093-05</t>
  </si>
  <si>
    <t>00379699-05</t>
  </si>
  <si>
    <t>0282084-05</t>
  </si>
  <si>
    <t>16456736-13</t>
  </si>
  <si>
    <t xml:space="preserve">Казаков Александр Юрьевич    </t>
  </si>
  <si>
    <t>Добролович Ольга Леонтьевна</t>
  </si>
  <si>
    <t>Микляев Виктор Валентинович</t>
  </si>
  <si>
    <t>Носова Юлия Евгеньевна</t>
  </si>
  <si>
    <t xml:space="preserve">Горьков Олег Алексеевич         </t>
  </si>
  <si>
    <t>Григорьева Светлана Александровна</t>
  </si>
  <si>
    <t>Мирошниченко Владислав  Владимирович</t>
  </si>
  <si>
    <t>Гавриленко Артем Борисович</t>
  </si>
  <si>
    <t>Тарасов Б.В.</t>
  </si>
  <si>
    <t>Борисова С.И.</t>
  </si>
  <si>
    <t>Даниловская А.А.</t>
  </si>
  <si>
    <t>Рахматиллаев Холмурод Очилдиевич</t>
  </si>
  <si>
    <t>0281596-05</t>
  </si>
  <si>
    <t>00347361-05</t>
  </si>
  <si>
    <t>27830175-16</t>
  </si>
  <si>
    <t>32062357-17</t>
  </si>
  <si>
    <t>23191446-15</t>
  </si>
  <si>
    <t>26411561-16</t>
  </si>
  <si>
    <t>22103132-15</t>
  </si>
  <si>
    <t>07523287-11</t>
  </si>
  <si>
    <t>20511657-14</t>
  </si>
  <si>
    <t>23676080-15</t>
  </si>
  <si>
    <t>00377101-05</t>
  </si>
  <si>
    <t>19040870-14</t>
  </si>
  <si>
    <t>22945499-15</t>
  </si>
  <si>
    <t>23501893-15</t>
  </si>
  <si>
    <t>25161006-16</t>
  </si>
  <si>
    <t>31537612-17</t>
  </si>
  <si>
    <t>27188681-16</t>
  </si>
  <si>
    <t>26741516-16</t>
  </si>
  <si>
    <t>00377041-05</t>
  </si>
  <si>
    <t>00377038-05</t>
  </si>
  <si>
    <t>00378912-05</t>
  </si>
  <si>
    <t>0281710-05</t>
  </si>
  <si>
    <t>16011120-13</t>
  </si>
  <si>
    <t>28152826-16</t>
  </si>
  <si>
    <t>19862098-14</t>
  </si>
  <si>
    <t>26425059-16</t>
  </si>
  <si>
    <t>26633216-16</t>
  </si>
  <si>
    <t>16695511-13</t>
  </si>
  <si>
    <t>23317638-15</t>
  </si>
  <si>
    <t>32251055-17</t>
  </si>
  <si>
    <t>27987277-16</t>
  </si>
  <si>
    <t>25143565-16</t>
  </si>
  <si>
    <t>30023211-17</t>
  </si>
  <si>
    <t>17124388-13</t>
  </si>
  <si>
    <t>20389294-14</t>
  </si>
  <si>
    <t>25263873-16</t>
  </si>
  <si>
    <t>31516051-17</t>
  </si>
  <si>
    <t>26315386-16</t>
  </si>
  <si>
    <t>28177250-16</t>
  </si>
  <si>
    <t>53018558-05</t>
  </si>
  <si>
    <t>Серегин Александр Юрьевич</t>
  </si>
  <si>
    <t>Моржев Илья Олегович</t>
  </si>
  <si>
    <t>Евдокимова Валентина Анатольевна</t>
  </si>
  <si>
    <t>35577725-18</t>
  </si>
  <si>
    <t>20500384-14</t>
  </si>
  <si>
    <t>25144828-16</t>
  </si>
  <si>
    <t>32096836-17</t>
  </si>
  <si>
    <t>23506817-15</t>
  </si>
  <si>
    <t>43601603-21</t>
  </si>
  <si>
    <t>43736974-21</t>
  </si>
  <si>
    <t xml:space="preserve">ТСЖ </t>
  </si>
  <si>
    <t>офис</t>
  </si>
  <si>
    <t>мастерская</t>
  </si>
  <si>
    <t>011695158724862</t>
  </si>
  <si>
    <t xml:space="preserve">   Юдин</t>
  </si>
  <si>
    <t>44144716-21</t>
  </si>
  <si>
    <t>44328637-21</t>
  </si>
  <si>
    <t>на продаже</t>
  </si>
  <si>
    <t>43801040-21</t>
  </si>
  <si>
    <t>03/с.2-Ф      эт.1/дв.7</t>
  </si>
  <si>
    <t>Трухан В.М.</t>
  </si>
  <si>
    <t>БОКС №24</t>
  </si>
  <si>
    <t>Петухов Т.В. (Детские товары)</t>
  </si>
  <si>
    <t>806-21</t>
  </si>
  <si>
    <t>Пухаев Станислав Алиханович</t>
  </si>
  <si>
    <t>Электроснабжение ИПУ, кВт/ч</t>
  </si>
  <si>
    <t>17926612</t>
  </si>
  <si>
    <t xml:space="preserve"> (ОДН) Свободно             </t>
  </si>
  <si>
    <t>Свободно (ОДН)</t>
  </si>
  <si>
    <t xml:space="preserve">Шептикин (ОДН) </t>
  </si>
  <si>
    <t>68225997-21</t>
  </si>
  <si>
    <t>замена 23.11.21</t>
  </si>
  <si>
    <t>Электроснабжение корп.3, кВт/ч</t>
  </si>
  <si>
    <t>Кол-во гаражей</t>
  </si>
  <si>
    <t>На 1 гараж, кВт/ч</t>
  </si>
  <si>
    <t>Расчет возмещения стоимости коммунальных услуг по гаражу - корпус 3</t>
  </si>
  <si>
    <t>45798565-22</t>
  </si>
  <si>
    <t>45754540-21</t>
  </si>
  <si>
    <t>46213211-22</t>
  </si>
  <si>
    <t>4/ 151-178</t>
  </si>
  <si>
    <t>011067171089-22</t>
  </si>
  <si>
    <t>выкл.</t>
  </si>
  <si>
    <t>46606965-22</t>
  </si>
  <si>
    <t>22064885-22</t>
  </si>
  <si>
    <t>46689951-22</t>
  </si>
  <si>
    <t xml:space="preserve">Новикова Татьяна Семеновна </t>
  </si>
  <si>
    <r>
      <t xml:space="preserve">Автостоянка      № 2 </t>
    </r>
    <r>
      <rPr>
        <b/>
        <sz val="8"/>
        <rFont val="Arial Cyr"/>
        <charset val="204"/>
      </rPr>
      <t>ШАУРМА</t>
    </r>
  </si>
  <si>
    <t>60194612-21</t>
  </si>
  <si>
    <t>Огородников Д.В.</t>
  </si>
  <si>
    <t>Коэффициент потерь</t>
  </si>
  <si>
    <t>Расход электроэнергии по корпусу 7 (отопление)</t>
  </si>
  <si>
    <t xml:space="preserve">АЯКС      </t>
  </si>
  <si>
    <t xml:space="preserve">    ООО "АЛЬФА"</t>
  </si>
  <si>
    <t>Рубаник Р.В. - Котков А.Г.            (Кофейня)</t>
  </si>
  <si>
    <t>46905407-22</t>
  </si>
  <si>
    <t>46583292-22</t>
  </si>
  <si>
    <t>46560980-22</t>
  </si>
  <si>
    <t>46223996-22</t>
  </si>
  <si>
    <t>46915828-22</t>
  </si>
  <si>
    <t>Декабрь 2022г.</t>
  </si>
  <si>
    <t>№ 9 Чукмасова</t>
  </si>
  <si>
    <t>Вымпелком "Билайн" галерея корп. 2</t>
  </si>
  <si>
    <t>Вымпелком "Билайн" подвал корп. 1</t>
  </si>
  <si>
    <t xml:space="preserve"> кв.м. - площадь всех помещений, находящихся в собственности МКД</t>
  </si>
  <si>
    <t>Март</t>
  </si>
  <si>
    <t>СПРАВОЧНАЯ ИНФОРМАЦИЯ потребление коммунальных услуг в здании по адресу г.Химки, ул.Лавочкина, д.13 март 2023г.</t>
  </si>
  <si>
    <t>47449359-22</t>
  </si>
  <si>
    <t>Эвакуационный выход</t>
  </si>
  <si>
    <t>Офис</t>
  </si>
  <si>
    <t>Мастерская</t>
  </si>
  <si>
    <t>Показания счетчика на начало месяца</t>
  </si>
  <si>
    <t>ИТОГО:</t>
  </si>
  <si>
    <t>ТСЖ к.2</t>
  </si>
  <si>
    <t>ипу</t>
  </si>
  <si>
    <t>к.1</t>
  </si>
  <si>
    <t>к.2</t>
  </si>
  <si>
    <t>к.3</t>
  </si>
  <si>
    <t>к.7</t>
  </si>
  <si>
    <t>разница</t>
  </si>
  <si>
    <t>пл. в соб.</t>
  </si>
  <si>
    <t>одпу</t>
  </si>
  <si>
    <t>одпу+моп</t>
  </si>
  <si>
    <t>итого</t>
  </si>
  <si>
    <t>на кв.м</t>
  </si>
  <si>
    <t>неж. пом.</t>
  </si>
  <si>
    <t>№ 19А - внутр. двор. эл.щит. №2</t>
  </si>
  <si>
    <t>итого на ОДН:</t>
  </si>
  <si>
    <t>Тишина М.А.</t>
  </si>
  <si>
    <t>Дворник (ОДН)</t>
  </si>
  <si>
    <t>22207294-23</t>
  </si>
  <si>
    <t>23087284-23</t>
  </si>
  <si>
    <t>22069699-23</t>
  </si>
  <si>
    <t>22077479-23</t>
  </si>
  <si>
    <t>23071282-23</t>
  </si>
  <si>
    <t>23087548-23</t>
  </si>
  <si>
    <t>22314966-22</t>
  </si>
  <si>
    <t>22273382-22</t>
  </si>
  <si>
    <t xml:space="preserve">Свободно(ОДН)                  </t>
  </si>
  <si>
    <t>Блохин Аньон Игоревич</t>
  </si>
  <si>
    <t>49263761-24</t>
  </si>
  <si>
    <t>49574900-24</t>
  </si>
  <si>
    <t>Масла (ОДН)</t>
  </si>
  <si>
    <t>Мамасали Кызы Бактайым</t>
  </si>
  <si>
    <t>ОДН электроснабжения с 01.05.2024 г.</t>
  </si>
  <si>
    <t>Озолина В.В.</t>
  </si>
  <si>
    <t>БОКС №21</t>
  </si>
  <si>
    <t>БОКС №22</t>
  </si>
  <si>
    <t>48169199-23</t>
  </si>
  <si>
    <t>47573518-22</t>
  </si>
  <si>
    <t>Июль</t>
  </si>
  <si>
    <t>Июль 2024 года</t>
  </si>
  <si>
    <t>СПРАВОЧНАЯ ИНФОРМАЦИЯ потребление коммунальных услуг в здании по адресу г.Химки, ул.Лавочкина, д.13 июль 2024г.</t>
  </si>
  <si>
    <t>по потреблению электроэнергии за период с  22.06.2024г. по  22.07.2024г.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</si>
</sst>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&quot;-&quot;???_р_._-;_-@_-"/>
    <numFmt numFmtId="167" formatCode="_-* #,##0_р_._-;\-* #,##0_р_._-;_-* &quot;-&quot;??_р_._-;_-@_-"/>
    <numFmt numFmtId="168" formatCode="_-* #,##0.000_р_._-;\-* #,##0.000_р_._-;_-* &quot;-&quot;??_р_._-;_-@_-"/>
    <numFmt numFmtId="169" formatCode="0.0%"/>
    <numFmt numFmtId="170" formatCode="_(* #,##0.00_);_(* \(#,##0.00\);_(* &quot;-&quot;??_);_(@_)"/>
    <numFmt numFmtId="171" formatCode="0.000"/>
    <numFmt numFmtId="172" formatCode="0.0"/>
    <numFmt numFmtId="173" formatCode="_-* #,##0.0000\ _₽_-;\-* #,##0.0000\ _₽_-;_-* &quot;-&quot;??\ _₽_-;_-@_-"/>
    <numFmt numFmtId="174" formatCode="0;[Red]0"/>
    <numFmt numFmtId="175" formatCode="0.0000"/>
    <numFmt numFmtId="176" formatCode="_-* #,##0.0000_р_._-;\-* #,##0.0000_р_._-;_-* &quot;-&quot;??_р_._-;_-@_-"/>
    <numFmt numFmtId="177" formatCode="[$-419]d\ mmm;@"/>
    <numFmt numFmtId="178" formatCode="_-* #,##0.0_р_._-;\-* #,##0.0_р_._-;_-* &quot;-&quot;??_р_._-;_-@_-"/>
    <numFmt numFmtId="179" formatCode="_-* #,##0.00000_р_._-;\-* #,##0.00000_р_._-;_-* &quot;-&quot;??_р_._-;_-@_-"/>
  </numFmts>
  <fonts count="8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0"/>
      <color indexed="8"/>
      <name val="Calibri"/>
      <family val="2"/>
      <charset val="204"/>
    </font>
    <font>
      <sz val="8"/>
      <name val="Arial Cyr"/>
      <charset val="204"/>
    </font>
    <font>
      <b/>
      <u val="singleAccounting"/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8"/>
      <name val="Arial Cyr"/>
      <charset val="204"/>
    </font>
    <font>
      <i/>
      <sz val="11"/>
      <name val="Calibri"/>
      <family val="2"/>
      <charset val="204"/>
    </font>
    <font>
      <i/>
      <sz val="9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u/>
      <sz val="9"/>
      <name val="Arial Cyr"/>
      <charset val="204"/>
    </font>
    <font>
      <b/>
      <u/>
      <sz val="9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color indexed="9"/>
      <name val="Arial Cyr"/>
      <charset val="204"/>
    </font>
    <font>
      <sz val="10"/>
      <color indexed="55"/>
      <name val="Arial Cyr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b/>
      <sz val="8"/>
      <color indexed="9"/>
      <name val="Arial Cyr"/>
      <charset val="204"/>
    </font>
    <font>
      <b/>
      <sz val="16"/>
      <name val="Calibri"/>
      <family val="2"/>
      <charset val="204"/>
    </font>
    <font>
      <sz val="6"/>
      <color indexed="9"/>
      <name val="Arial Cyr"/>
      <charset val="204"/>
    </font>
    <font>
      <b/>
      <sz val="7"/>
      <color indexed="9"/>
      <name val="Arial Cyr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i/>
      <sz val="12"/>
      <color indexed="8"/>
      <name val="Calibri"/>
      <family val="2"/>
      <charset val="204"/>
    </font>
    <font>
      <b/>
      <sz val="6"/>
      <color indexed="9"/>
      <name val="Arial Cyr"/>
      <charset val="204"/>
    </font>
    <font>
      <b/>
      <u/>
      <sz val="16"/>
      <color indexed="8"/>
      <name val="Calibri"/>
      <family val="2"/>
      <charset val="204"/>
    </font>
    <font>
      <b/>
      <sz val="6"/>
      <name val="Arial"/>
      <family val="2"/>
      <charset val="204"/>
    </font>
    <font>
      <b/>
      <u/>
      <sz val="8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8"/>
      <color theme="0"/>
      <name val="Arial Cyr"/>
      <charset val="204"/>
    </font>
    <font>
      <b/>
      <sz val="10"/>
      <name val="Arial"/>
      <family val="2"/>
      <charset val="204"/>
    </font>
    <font>
      <sz val="10"/>
      <color theme="1"/>
      <name val="Arial Cyr"/>
      <charset val="204"/>
    </font>
    <font>
      <b/>
      <u/>
      <sz val="10"/>
      <color rgb="FFFF0000"/>
      <name val="Arial Cyr"/>
      <charset val="204"/>
    </font>
    <font>
      <b/>
      <sz val="9"/>
      <color theme="1"/>
      <name val="Arial Cyr"/>
      <charset val="204"/>
    </font>
    <font>
      <b/>
      <sz val="10"/>
      <color theme="1"/>
      <name val="Arial Cyr"/>
      <charset val="204"/>
    </font>
    <font>
      <sz val="8"/>
      <color indexed="8"/>
      <name val="Calibri"/>
      <family val="2"/>
      <charset val="204"/>
    </font>
    <font>
      <b/>
      <sz val="16"/>
      <name val="Calibri"/>
      <family val="2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sz val="18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u val="singleAccounting"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sz val="9"/>
      <color theme="1"/>
      <name val="Arial Cyr"/>
      <charset val="204"/>
    </font>
    <font>
      <b/>
      <i/>
      <u val="singleAccounting"/>
      <sz val="10"/>
      <name val="Arial Cyr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7"/>
      <color theme="1"/>
      <name val="Arial"/>
      <family val="2"/>
      <charset val="204"/>
    </font>
    <font>
      <sz val="9"/>
      <name val="Arial"/>
      <family val="2"/>
      <charset val="204"/>
    </font>
    <font>
      <b/>
      <sz val="7"/>
      <name val="Times New Roman"/>
      <family val="1"/>
      <charset val="204"/>
    </font>
    <font>
      <b/>
      <sz val="12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4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</cellStyleXfs>
  <cellXfs count="896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0" xfId="0" applyFont="1"/>
    <xf numFmtId="49" fontId="8" fillId="2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5" fillId="0" borderId="0" xfId="0" applyNumberFormat="1" applyFont="1"/>
    <xf numFmtId="49" fontId="5" fillId="0" borderId="2" xfId="0" applyNumberFormat="1" applyFont="1" applyBorder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0" borderId="2" xfId="0" applyFont="1" applyBorder="1"/>
    <xf numFmtId="0" fontId="8" fillId="2" borderId="5" xfId="0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 wrapText="1"/>
    </xf>
    <xf numFmtId="0" fontId="8" fillId="0" borderId="0" xfId="0" applyFont="1"/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13" fillId="0" borderId="0" xfId="0" applyFont="1"/>
    <xf numFmtId="166" fontId="0" fillId="0" borderId="0" xfId="0" applyNumberFormat="1"/>
    <xf numFmtId="0" fontId="0" fillId="0" borderId="8" xfId="0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 wrapText="1"/>
    </xf>
    <xf numFmtId="0" fontId="0" fillId="0" borderId="8" xfId="0" applyBorder="1"/>
    <xf numFmtId="168" fontId="16" fillId="0" borderId="7" xfId="1" applyNumberFormat="1" applyFont="1" applyBorder="1"/>
    <xf numFmtId="166" fontId="0" fillId="0" borderId="7" xfId="0" applyNumberFormat="1" applyBorder="1"/>
    <xf numFmtId="165" fontId="16" fillId="0" borderId="7" xfId="1" applyFont="1" applyBorder="1"/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indent="1"/>
    </xf>
    <xf numFmtId="49" fontId="11" fillId="2" borderId="9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2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horizontal="left" vertical="center" wrapText="1"/>
    </xf>
    <xf numFmtId="49" fontId="11" fillId="2" borderId="14" xfId="0" applyNumberFormat="1" applyFont="1" applyFill="1" applyBorder="1" applyAlignment="1">
      <alignment horizontal="left" vertical="center" wrapText="1"/>
    </xf>
    <xf numFmtId="165" fontId="16" fillId="0" borderId="15" xfId="1" applyFont="1" applyBorder="1"/>
    <xf numFmtId="49" fontId="11" fillId="2" borderId="15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 wrapText="1"/>
    </xf>
    <xf numFmtId="166" fontId="0" fillId="0" borderId="14" xfId="0" applyNumberFormat="1" applyBorder="1"/>
    <xf numFmtId="0" fontId="18" fillId="2" borderId="16" xfId="0" applyFont="1" applyFill="1" applyBorder="1" applyAlignment="1">
      <alignment horizontal="left" vertical="center" wrapText="1"/>
    </xf>
    <xf numFmtId="49" fontId="11" fillId="2" borderId="17" xfId="0" applyNumberFormat="1" applyFont="1" applyFill="1" applyBorder="1" applyAlignment="1">
      <alignment horizontal="left" vertical="center" indent="1"/>
    </xf>
    <xf numFmtId="49" fontId="11" fillId="2" borderId="18" xfId="0" applyNumberFormat="1" applyFont="1" applyFill="1" applyBorder="1" applyAlignment="1">
      <alignment horizontal="left" vertical="center" wrapText="1"/>
    </xf>
    <xf numFmtId="49" fontId="11" fillId="2" borderId="19" xfId="0" applyNumberFormat="1" applyFont="1" applyFill="1" applyBorder="1" applyAlignment="1">
      <alignment horizontal="left" vertical="center" indent="1"/>
    </xf>
    <xf numFmtId="49" fontId="11" fillId="2" borderId="20" xfId="0" applyNumberFormat="1" applyFont="1" applyFill="1" applyBorder="1" applyAlignment="1">
      <alignment horizontal="left" vertical="center" wrapText="1"/>
    </xf>
    <xf numFmtId="49" fontId="18" fillId="0" borderId="21" xfId="0" applyNumberFormat="1" applyFont="1" applyBorder="1" applyAlignment="1">
      <alignment horizontal="left" vertical="center" wrapText="1"/>
    </xf>
    <xf numFmtId="49" fontId="11" fillId="0" borderId="15" xfId="0" applyNumberFormat="1" applyFont="1" applyBorder="1" applyAlignment="1">
      <alignment horizontal="left" vertical="center" wrapText="1"/>
    </xf>
    <xf numFmtId="49" fontId="11" fillId="0" borderId="22" xfId="0" applyNumberFormat="1" applyFont="1" applyBorder="1" applyAlignment="1">
      <alignment horizontal="left" vertical="center" wrapText="1"/>
    </xf>
    <xf numFmtId="49" fontId="18" fillId="2" borderId="21" xfId="0" applyNumberFormat="1" applyFont="1" applyFill="1" applyBorder="1" applyAlignment="1">
      <alignment horizontal="left" vertical="center" wrapText="1"/>
    </xf>
    <xf numFmtId="0" fontId="0" fillId="0" borderId="13" xfId="0" applyBorder="1"/>
    <xf numFmtId="49" fontId="11" fillId="2" borderId="22" xfId="0" applyNumberFormat="1" applyFont="1" applyFill="1" applyBorder="1" applyAlignment="1">
      <alignment horizontal="left" vertical="center" wrapText="1"/>
    </xf>
    <xf numFmtId="49" fontId="18" fillId="2" borderId="14" xfId="0" applyNumberFormat="1" applyFont="1" applyFill="1" applyBorder="1" applyAlignment="1">
      <alignment horizontal="left" vertical="center" wrapText="1"/>
    </xf>
    <xf numFmtId="49" fontId="11" fillId="2" borderId="23" xfId="0" applyNumberFormat="1" applyFont="1" applyFill="1" applyBorder="1" applyAlignment="1">
      <alignment horizontal="left" vertical="center" indent="1"/>
    </xf>
    <xf numFmtId="49" fontId="0" fillId="0" borderId="14" xfId="0" applyNumberFormat="1" applyBorder="1"/>
    <xf numFmtId="49" fontId="0" fillId="0" borderId="7" xfId="0" applyNumberFormat="1" applyBorder="1"/>
    <xf numFmtId="0" fontId="0" fillId="0" borderId="10" xfId="0" applyBorder="1"/>
    <xf numFmtId="0" fontId="0" fillId="0" borderId="14" xfId="0" applyBorder="1"/>
    <xf numFmtId="165" fontId="19" fillId="0" borderId="8" xfId="1" applyFont="1" applyBorder="1"/>
    <xf numFmtId="165" fontId="20" fillId="0" borderId="15" xfId="0" applyNumberFormat="1" applyFont="1" applyBorder="1"/>
    <xf numFmtId="0" fontId="0" fillId="0" borderId="11" xfId="0" applyBorder="1"/>
    <xf numFmtId="49" fontId="11" fillId="2" borderId="24" xfId="0" applyNumberFormat="1" applyFont="1" applyFill="1" applyBorder="1" applyAlignment="1">
      <alignment horizontal="left" vertical="center" wrapText="1"/>
    </xf>
    <xf numFmtId="0" fontId="0" fillId="0" borderId="21" xfId="0" applyBorder="1"/>
    <xf numFmtId="49" fontId="0" fillId="2" borderId="7" xfId="1" applyNumberFormat="1" applyFont="1" applyFill="1" applyBorder="1" applyAlignment="1">
      <alignment horizontal="left" vertical="center"/>
    </xf>
    <xf numFmtId="49" fontId="0" fillId="2" borderId="7" xfId="0" applyNumberForma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/>
    </xf>
    <xf numFmtId="49" fontId="0" fillId="2" borderId="7" xfId="0" applyNumberForma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15" xfId="0" applyNumberFormat="1" applyBorder="1"/>
    <xf numFmtId="49" fontId="0" fillId="0" borderId="11" xfId="0" applyNumberFormat="1" applyBorder="1"/>
    <xf numFmtId="165" fontId="21" fillId="0" borderId="8" xfId="1" applyFont="1" applyBorder="1"/>
    <xf numFmtId="165" fontId="22" fillId="0" borderId="7" xfId="1" applyFont="1" applyBorder="1"/>
    <xf numFmtId="165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/>
    <xf numFmtId="0" fontId="11" fillId="0" borderId="0" xfId="0" applyFont="1"/>
    <xf numFmtId="14" fontId="2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/>
    <xf numFmtId="49" fontId="0" fillId="0" borderId="0" xfId="0" applyNumberFormat="1" applyAlignment="1">
      <alignment horizontal="left" vertical="center"/>
    </xf>
    <xf numFmtId="0" fontId="26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9" fillId="0" borderId="0" xfId="0" applyFont="1"/>
    <xf numFmtId="0" fontId="29" fillId="3" borderId="0" xfId="0" applyFont="1" applyFill="1"/>
    <xf numFmtId="0" fontId="0" fillId="0" borderId="1" xfId="0" applyBorder="1"/>
    <xf numFmtId="0" fontId="25" fillId="0" borderId="0" xfId="0" applyFont="1" applyAlignment="1">
      <alignment horizontal="left" vertical="center" wrapText="1"/>
    </xf>
    <xf numFmtId="49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/>
    </xf>
    <xf numFmtId="2" fontId="5" fillId="0" borderId="1" xfId="0" applyNumberFormat="1" applyFont="1" applyBorder="1" applyAlignment="1">
      <alignment vertical="center"/>
    </xf>
    <xf numFmtId="49" fontId="0" fillId="0" borderId="0" xfId="0" applyNumberFormat="1" applyAlignment="1">
      <alignment horizontal="right"/>
    </xf>
    <xf numFmtId="0" fontId="13" fillId="2" borderId="0" xfId="0" applyFont="1" applyFill="1" applyAlignment="1">
      <alignment horizontal="left"/>
    </xf>
    <xf numFmtId="168" fontId="14" fillId="2" borderId="0" xfId="1" applyNumberFormat="1" applyFont="1" applyFill="1" applyAlignment="1">
      <alignment horizontal="center"/>
    </xf>
    <xf numFmtId="0" fontId="0" fillId="2" borderId="0" xfId="0" applyFill="1"/>
    <xf numFmtId="49" fontId="5" fillId="0" borderId="0" xfId="0" applyNumberFormat="1" applyFont="1" applyAlignment="1">
      <alignment horizontal="left"/>
    </xf>
    <xf numFmtId="0" fontId="6" fillId="4" borderId="0" xfId="0" applyFont="1" applyFill="1" applyAlignment="1">
      <alignment horizontal="right"/>
    </xf>
    <xf numFmtId="0" fontId="8" fillId="0" borderId="28" xfId="0" applyFont="1" applyBorder="1" applyAlignment="1">
      <alignment horizontal="left"/>
    </xf>
    <xf numFmtId="0" fontId="6" fillId="0" borderId="0" xfId="0" applyFont="1" applyAlignment="1">
      <alignment horizontal="right"/>
    </xf>
    <xf numFmtId="2" fontId="9" fillId="0" borderId="0" xfId="0" applyNumberFormat="1" applyFont="1" applyAlignment="1">
      <alignment horizontal="left" vertical="center"/>
    </xf>
    <xf numFmtId="0" fontId="25" fillId="0" borderId="0" xfId="0" applyFont="1"/>
    <xf numFmtId="49" fontId="11" fillId="2" borderId="11" xfId="0" applyNumberFormat="1" applyFont="1" applyFill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wrapText="1"/>
    </xf>
    <xf numFmtId="0" fontId="27" fillId="5" borderId="31" xfId="0" applyFont="1" applyFill="1" applyBorder="1" applyAlignment="1">
      <alignment horizontal="left" vertical="center" wrapText="1"/>
    </xf>
    <xf numFmtId="0" fontId="27" fillId="5" borderId="32" xfId="0" applyFont="1" applyFill="1" applyBorder="1" applyAlignment="1">
      <alignment horizontal="left" vertical="center" wrapText="1"/>
    </xf>
    <xf numFmtId="0" fontId="27" fillId="5" borderId="33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7" fillId="0" borderId="28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0" fontId="32" fillId="0" borderId="0" xfId="0" applyFont="1"/>
    <xf numFmtId="0" fontId="30" fillId="0" borderId="0" xfId="0" applyFont="1"/>
    <xf numFmtId="0" fontId="8" fillId="0" borderId="3" xfId="0" applyFont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23" fillId="4" borderId="0" xfId="0" applyFont="1" applyFill="1" applyAlignment="1">
      <alignment horizontal="right"/>
    </xf>
    <xf numFmtId="49" fontId="8" fillId="2" borderId="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49" fontId="8" fillId="2" borderId="3" xfId="0" applyNumberFormat="1" applyFont="1" applyFill="1" applyBorder="1" applyAlignment="1">
      <alignment horizontal="left" vertical="center"/>
    </xf>
    <xf numFmtId="49" fontId="8" fillId="2" borderId="3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top"/>
    </xf>
    <xf numFmtId="49" fontId="8" fillId="0" borderId="4" xfId="0" applyNumberFormat="1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7" fillId="5" borderId="26" xfId="0" applyFont="1" applyFill="1" applyBorder="1" applyAlignment="1">
      <alignment horizontal="left" vertical="center" wrapText="1"/>
    </xf>
    <xf numFmtId="49" fontId="8" fillId="2" borderId="4" xfId="1" applyNumberFormat="1" applyFont="1" applyFill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49" fontId="8" fillId="2" borderId="5" xfId="0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49" fontId="9" fillId="0" borderId="2" xfId="0" applyNumberFormat="1" applyFont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4" fillId="2" borderId="29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8" fillId="4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0" fontId="7" fillId="0" borderId="29" xfId="0" applyFont="1" applyBorder="1" applyAlignment="1">
      <alignment horizontal="left" wrapText="1"/>
    </xf>
    <xf numFmtId="0" fontId="7" fillId="2" borderId="28" xfId="0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4" xfId="0" applyNumberFormat="1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27" fillId="5" borderId="0" xfId="0" applyFont="1" applyFill="1" applyAlignment="1">
      <alignment vertical="center"/>
    </xf>
    <xf numFmtId="0" fontId="27" fillId="5" borderId="0" xfId="0" applyFont="1" applyFill="1"/>
    <xf numFmtId="0" fontId="9" fillId="0" borderId="2" xfId="0" applyFont="1" applyBorder="1" applyAlignment="1">
      <alignment horizontal="left" vertical="top"/>
    </xf>
    <xf numFmtId="49" fontId="11" fillId="2" borderId="7" xfId="0" applyNumberFormat="1" applyFont="1" applyFill="1" applyBorder="1" applyAlignment="1">
      <alignment vertical="center"/>
    </xf>
    <xf numFmtId="168" fontId="14" fillId="7" borderId="0" xfId="1" applyNumberFormat="1" applyFont="1" applyFill="1" applyAlignment="1">
      <alignment horizontal="center"/>
    </xf>
    <xf numFmtId="0" fontId="16" fillId="7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6" fillId="7" borderId="0" xfId="0" applyFont="1" applyFill="1"/>
    <xf numFmtId="169" fontId="15" fillId="7" borderId="0" xfId="1" applyNumberFormat="1" applyFont="1" applyFill="1" applyAlignment="1">
      <alignment horizontal="center"/>
    </xf>
    <xf numFmtId="168" fontId="15" fillId="7" borderId="0" xfId="1" applyNumberFormat="1" applyFont="1" applyFill="1" applyAlignment="1">
      <alignment horizontal="center"/>
    </xf>
    <xf numFmtId="165" fontId="17" fillId="0" borderId="7" xfId="1" applyFont="1" applyBorder="1" applyAlignment="1">
      <alignment horizontal="center"/>
    </xf>
    <xf numFmtId="165" fontId="0" fillId="0" borderId="10" xfId="0" applyNumberFormat="1" applyBorder="1"/>
    <xf numFmtId="49" fontId="11" fillId="2" borderId="37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165" fontId="17" fillId="0" borderId="11" xfId="1" applyFont="1" applyBorder="1" applyAlignment="1">
      <alignment horizontal="center"/>
    </xf>
    <xf numFmtId="165" fontId="17" fillId="0" borderId="24" xfId="1" applyFont="1" applyBorder="1" applyAlignment="1">
      <alignment horizontal="center"/>
    </xf>
    <xf numFmtId="165" fontId="0" fillId="0" borderId="8" xfId="0" applyNumberFormat="1" applyBorder="1"/>
    <xf numFmtId="165" fontId="38" fillId="0" borderId="8" xfId="1" applyFont="1" applyBorder="1"/>
    <xf numFmtId="165" fontId="38" fillId="0" borderId="7" xfId="1" applyFont="1" applyBorder="1"/>
    <xf numFmtId="0" fontId="34" fillId="0" borderId="0" xfId="0" applyFont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165" fontId="16" fillId="0" borderId="8" xfId="1" applyFont="1" applyBorder="1"/>
    <xf numFmtId="49" fontId="8" fillId="2" borderId="8" xfId="0" applyNumberFormat="1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left" vertical="center" wrapText="1"/>
    </xf>
    <xf numFmtId="167" fontId="8" fillId="9" borderId="8" xfId="1" applyNumberFormat="1" applyFont="1" applyFill="1" applyBorder="1" applyAlignment="1">
      <alignment vertical="center"/>
    </xf>
    <xf numFmtId="167" fontId="8" fillId="0" borderId="8" xfId="1" applyNumberFormat="1" applyFont="1" applyBorder="1" applyAlignment="1">
      <alignment horizontal="left" vertical="center" wrapText="1"/>
    </xf>
    <xf numFmtId="167" fontId="26" fillId="0" borderId="12" xfId="1" applyNumberFormat="1" applyFont="1" applyBorder="1" applyAlignment="1">
      <alignment horizontal="left" vertical="center" wrapText="1"/>
    </xf>
    <xf numFmtId="167" fontId="30" fillId="0" borderId="10" xfId="1" applyNumberFormat="1" applyFont="1" applyBorder="1"/>
    <xf numFmtId="49" fontId="25" fillId="0" borderId="0" xfId="0" applyNumberFormat="1" applyFont="1" applyAlignment="1">
      <alignment horizontal="left" vertical="center" wrapText="1"/>
    </xf>
    <xf numFmtId="14" fontId="26" fillId="0" borderId="26" xfId="0" applyNumberFormat="1" applyFont="1" applyBorder="1" applyAlignment="1">
      <alignment wrapText="1"/>
    </xf>
    <xf numFmtId="49" fontId="8" fillId="2" borderId="5" xfId="1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2" borderId="39" xfId="0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top"/>
    </xf>
    <xf numFmtId="0" fontId="8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41" fillId="0" borderId="2" xfId="0" applyFont="1" applyBorder="1" applyAlignment="1">
      <alignment wrapText="1"/>
    </xf>
    <xf numFmtId="0" fontId="46" fillId="0" borderId="0" xfId="0" applyFont="1" applyAlignment="1">
      <alignment horizontal="right"/>
    </xf>
    <xf numFmtId="0" fontId="8" fillId="0" borderId="4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1" fontId="9" fillId="0" borderId="40" xfId="0" applyNumberFormat="1" applyFont="1" applyBorder="1" applyAlignment="1">
      <alignment horizontal="left"/>
    </xf>
    <xf numFmtId="0" fontId="8" fillId="2" borderId="45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171" fontId="5" fillId="0" borderId="4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8" fillId="0" borderId="7" xfId="0" applyFont="1" applyBorder="1"/>
    <xf numFmtId="0" fontId="18" fillId="0" borderId="7" xfId="0" applyFont="1" applyBorder="1" applyAlignment="1">
      <alignment horizontal="center"/>
    </xf>
    <xf numFmtId="49" fontId="11" fillId="2" borderId="7" xfId="1" applyNumberFormat="1" applyFont="1" applyFill="1" applyBorder="1" applyAlignment="1">
      <alignment horizontal="left" vertical="center"/>
    </xf>
    <xf numFmtId="14" fontId="8" fillId="9" borderId="7" xfId="0" applyNumberFormat="1" applyFont="1" applyFill="1" applyBorder="1" applyAlignment="1">
      <alignment horizontal="left" vertical="center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49" fontId="11" fillId="10" borderId="7" xfId="0" applyNumberFormat="1" applyFont="1" applyFill="1" applyBorder="1" applyAlignment="1">
      <alignment horizontal="left" vertical="center" wrapText="1" indent="1"/>
    </xf>
    <xf numFmtId="49" fontId="11" fillId="2" borderId="7" xfId="0" applyNumberFormat="1" applyFont="1" applyFill="1" applyBorder="1" applyAlignment="1">
      <alignment vertical="center" wrapText="1"/>
    </xf>
    <xf numFmtId="49" fontId="11" fillId="10" borderId="7" xfId="0" applyNumberFormat="1" applyFont="1" applyFill="1" applyBorder="1" applyAlignment="1">
      <alignment vertical="center" wrapText="1"/>
    </xf>
    <xf numFmtId="14" fontId="8" fillId="2" borderId="7" xfId="0" applyNumberFormat="1" applyFont="1" applyFill="1" applyBorder="1" applyAlignment="1">
      <alignment horizontal="left" vertical="center" wrapText="1"/>
    </xf>
    <xf numFmtId="165" fontId="0" fillId="0" borderId="7" xfId="1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49" fontId="11" fillId="2" borderId="7" xfId="0" applyNumberFormat="1" applyFont="1" applyFill="1" applyBorder="1" applyAlignment="1">
      <alignment horizontal="center" vertical="center" wrapText="1"/>
    </xf>
    <xf numFmtId="168" fontId="8" fillId="0" borderId="7" xfId="1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/>
    </xf>
    <xf numFmtId="166" fontId="0" fillId="0" borderId="10" xfId="0" applyNumberFormat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5" fillId="0" borderId="11" xfId="0" applyFont="1" applyBorder="1"/>
    <xf numFmtId="167" fontId="45" fillId="0" borderId="11" xfId="1" applyNumberFormat="1" applyFont="1" applyBorder="1"/>
    <xf numFmtId="165" fontId="45" fillId="0" borderId="11" xfId="1" applyFont="1" applyBorder="1"/>
    <xf numFmtId="0" fontId="45" fillId="0" borderId="47" xfId="0" applyFont="1" applyBorder="1"/>
    <xf numFmtId="0" fontId="45" fillId="0" borderId="48" xfId="0" applyFont="1" applyBorder="1"/>
    <xf numFmtId="49" fontId="26" fillId="2" borderId="7" xfId="0" applyNumberFormat="1" applyFont="1" applyFill="1" applyBorder="1" applyAlignment="1">
      <alignment horizontal="left" vertical="center" wrapText="1" indent="1"/>
    </xf>
    <xf numFmtId="0" fontId="8" fillId="11" borderId="2" xfId="0" applyFont="1" applyFill="1" applyBorder="1" applyAlignment="1">
      <alignment horizontal="left" vertical="center"/>
    </xf>
    <xf numFmtId="1" fontId="24" fillId="0" borderId="0" xfId="0" applyNumberFormat="1" applyFont="1" applyAlignment="1">
      <alignment horizontal="left" vertical="center"/>
    </xf>
    <xf numFmtId="0" fontId="45" fillId="0" borderId="7" xfId="0" applyFont="1" applyBorder="1"/>
    <xf numFmtId="167" fontId="45" fillId="0" borderId="7" xfId="1" applyNumberFormat="1" applyFont="1" applyBorder="1"/>
    <xf numFmtId="165" fontId="45" fillId="0" borderId="7" xfId="1" applyFont="1" applyBorder="1"/>
    <xf numFmtId="0" fontId="45" fillId="0" borderId="48" xfId="0" applyFont="1" applyBorder="1" applyAlignment="1">
      <alignment horizontal="center"/>
    </xf>
    <xf numFmtId="0" fontId="8" fillId="11" borderId="0" xfId="0" applyFont="1" applyFill="1" applyAlignment="1">
      <alignment horizontal="right"/>
    </xf>
    <xf numFmtId="0" fontId="0" fillId="11" borderId="0" xfId="0" applyFill="1" applyAlignment="1">
      <alignment horizontal="right"/>
    </xf>
    <xf numFmtId="49" fontId="8" fillId="11" borderId="5" xfId="0" applyNumberFormat="1" applyFont="1" applyFill="1" applyBorder="1" applyAlignment="1">
      <alignment horizontal="left" vertical="center"/>
    </xf>
    <xf numFmtId="0" fontId="39" fillId="11" borderId="0" xfId="0" applyFont="1" applyFill="1" applyAlignment="1">
      <alignment vertical="center" wrapText="1"/>
    </xf>
    <xf numFmtId="0" fontId="25" fillId="11" borderId="0" xfId="0" applyFont="1" applyFill="1" applyAlignment="1">
      <alignment wrapText="1"/>
    </xf>
    <xf numFmtId="49" fontId="8" fillId="0" borderId="39" xfId="0" applyNumberFormat="1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168" fontId="14" fillId="12" borderId="0" xfId="1" applyNumberFormat="1" applyFont="1" applyFill="1" applyAlignment="1">
      <alignment horizontal="center"/>
    </xf>
    <xf numFmtId="0" fontId="13" fillId="12" borderId="0" xfId="0" applyFont="1" applyFill="1" applyAlignment="1">
      <alignment horizontal="left"/>
    </xf>
    <xf numFmtId="164" fontId="13" fillId="12" borderId="0" xfId="0" applyNumberFormat="1" applyFont="1" applyFill="1" applyAlignment="1">
      <alignment horizontal="left"/>
    </xf>
    <xf numFmtId="0" fontId="8" fillId="11" borderId="42" xfId="0" applyFont="1" applyFill="1" applyBorder="1" applyAlignment="1">
      <alignment horizontal="left" vertical="center"/>
    </xf>
    <xf numFmtId="168" fontId="3" fillId="0" borderId="0" xfId="1" applyNumberFormat="1" applyFont="1"/>
    <xf numFmtId="0" fontId="25" fillId="11" borderId="0" xfId="0" applyFont="1" applyFill="1" applyAlignment="1">
      <alignment vertical="center" wrapText="1"/>
    </xf>
    <xf numFmtId="49" fontId="8" fillId="11" borderId="2" xfId="0" applyNumberFormat="1" applyFont="1" applyFill="1" applyBorder="1" applyAlignment="1">
      <alignment horizontal="left" vertical="center"/>
    </xf>
    <xf numFmtId="0" fontId="0" fillId="11" borderId="0" xfId="0" applyFill="1"/>
    <xf numFmtId="0" fontId="25" fillId="11" borderId="0" xfId="0" applyFont="1" applyFill="1" applyAlignment="1">
      <alignment horizontal="center" vertical="center" wrapText="1"/>
    </xf>
    <xf numFmtId="49" fontId="11" fillId="10" borderId="7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 wrapText="1"/>
    </xf>
    <xf numFmtId="0" fontId="7" fillId="0" borderId="11" xfId="0" applyFont="1" applyBorder="1"/>
    <xf numFmtId="49" fontId="11" fillId="2" borderId="11" xfId="0" applyNumberFormat="1" applyFont="1" applyFill="1" applyBorder="1" applyAlignment="1">
      <alignment horizontal="left" vertical="center" wrapText="1" indent="1"/>
    </xf>
    <xf numFmtId="165" fontId="16" fillId="0" borderId="13" xfId="1" applyFont="1" applyBorder="1"/>
    <xf numFmtId="166" fontId="0" fillId="0" borderId="13" xfId="0" applyNumberFormat="1" applyBorder="1"/>
    <xf numFmtId="165" fontId="16" fillId="0" borderId="11" xfId="1" applyFont="1" applyBorder="1"/>
    <xf numFmtId="166" fontId="0" fillId="0" borderId="11" xfId="0" applyNumberFormat="1" applyBorder="1"/>
    <xf numFmtId="0" fontId="25" fillId="0" borderId="0" xfId="0" applyFont="1" applyAlignment="1">
      <alignment vertical="center" wrapText="1"/>
    </xf>
    <xf numFmtId="0" fontId="0" fillId="11" borderId="0" xfId="0" applyFill="1" applyAlignment="1">
      <alignment horizontal="left"/>
    </xf>
    <xf numFmtId="1" fontId="8" fillId="11" borderId="2" xfId="0" applyNumberFormat="1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right"/>
    </xf>
    <xf numFmtId="0" fontId="27" fillId="11" borderId="26" xfId="0" applyFont="1" applyFill="1" applyBorder="1" applyAlignment="1">
      <alignment horizontal="left" vertical="center" wrapText="1"/>
    </xf>
    <xf numFmtId="0" fontId="41" fillId="11" borderId="0" xfId="0" applyFont="1" applyFill="1" applyAlignment="1">
      <alignment wrapText="1"/>
    </xf>
    <xf numFmtId="0" fontId="39" fillId="0" borderId="0" xfId="0" applyFont="1" applyAlignment="1">
      <alignment vertical="center" wrapText="1"/>
    </xf>
    <xf numFmtId="0" fontId="8" fillId="0" borderId="50" xfId="0" applyFont="1" applyBorder="1" applyAlignment="1">
      <alignment horizontal="left" vertical="center"/>
    </xf>
    <xf numFmtId="2" fontId="5" fillId="0" borderId="28" xfId="0" applyNumberFormat="1" applyFont="1" applyBorder="1" applyAlignment="1">
      <alignment horizontal="left"/>
    </xf>
    <xf numFmtId="0" fontId="27" fillId="13" borderId="32" xfId="0" applyFont="1" applyFill="1" applyBorder="1" applyAlignment="1">
      <alignment horizontal="left" vertical="center" wrapText="1"/>
    </xf>
    <xf numFmtId="0" fontId="47" fillId="0" borderId="0" xfId="0" applyFont="1" applyAlignment="1">
      <alignment wrapText="1"/>
    </xf>
    <xf numFmtId="165" fontId="22" fillId="0" borderId="8" xfId="1" applyFont="1" applyBorder="1"/>
    <xf numFmtId="166" fontId="11" fillId="0" borderId="0" xfId="0" applyNumberFormat="1" applyFont="1"/>
    <xf numFmtId="0" fontId="27" fillId="0" borderId="31" xfId="0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34" fillId="0" borderId="35" xfId="0" applyFont="1" applyBorder="1" applyAlignment="1">
      <alignment vertical="center" wrapText="1"/>
    </xf>
    <xf numFmtId="167" fontId="8" fillId="9" borderId="8" xfId="1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 wrapText="1"/>
    </xf>
    <xf numFmtId="49" fontId="26" fillId="2" borderId="11" xfId="0" applyNumberFormat="1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167" fontId="8" fillId="9" borderId="7" xfId="1" applyNumberFormat="1" applyFont="1" applyFill="1" applyBorder="1" applyAlignment="1">
      <alignment vertical="center"/>
    </xf>
    <xf numFmtId="167" fontId="8" fillId="9" borderId="7" xfId="1" applyNumberFormat="1" applyFont="1" applyFill="1" applyBorder="1" applyAlignment="1">
      <alignment horizontal="left" vertical="center"/>
    </xf>
    <xf numFmtId="14" fontId="24" fillId="0" borderId="7" xfId="0" applyNumberFormat="1" applyFont="1" applyBorder="1" applyAlignment="1">
      <alignment horizontal="left" vertical="center"/>
    </xf>
    <xf numFmtId="1" fontId="48" fillId="0" borderId="7" xfId="0" applyNumberFormat="1" applyFont="1" applyBorder="1" applyAlignment="1">
      <alignment vertical="center" wrapText="1"/>
    </xf>
    <xf numFmtId="14" fontId="42" fillId="0" borderId="7" xfId="0" applyNumberFormat="1" applyFont="1" applyBorder="1" applyAlignment="1">
      <alignment horizontal="left" vertical="center" wrapText="1"/>
    </xf>
    <xf numFmtId="0" fontId="7" fillId="0" borderId="51" xfId="0" applyFont="1" applyBorder="1"/>
    <xf numFmtId="0" fontId="49" fillId="0" borderId="0" xfId="0" applyFont="1"/>
    <xf numFmtId="172" fontId="0" fillId="0" borderId="0" xfId="0" applyNumberFormat="1"/>
    <xf numFmtId="1" fontId="0" fillId="0" borderId="0" xfId="0" applyNumberFormat="1"/>
    <xf numFmtId="1" fontId="5" fillId="0" borderId="0" xfId="0" applyNumberFormat="1" applyFont="1"/>
    <xf numFmtId="172" fontId="5" fillId="0" borderId="0" xfId="0" applyNumberFormat="1" applyFont="1"/>
    <xf numFmtId="0" fontId="39" fillId="13" borderId="0" xfId="0" applyFont="1" applyFill="1" applyAlignment="1">
      <alignment vertical="center" wrapText="1"/>
    </xf>
    <xf numFmtId="0" fontId="51" fillId="0" borderId="0" xfId="0" applyFont="1" applyAlignment="1">
      <alignment vertical="center" wrapText="1"/>
    </xf>
    <xf numFmtId="1" fontId="8" fillId="0" borderId="50" xfId="0" applyNumberFormat="1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35" fillId="0" borderId="0" xfId="0" applyFont="1"/>
    <xf numFmtId="16" fontId="0" fillId="0" borderId="0" xfId="0" applyNumberFormat="1"/>
    <xf numFmtId="16" fontId="0" fillId="11" borderId="0" xfId="0" applyNumberFormat="1" applyFill="1"/>
    <xf numFmtId="16" fontId="0" fillId="0" borderId="0" xfId="0" applyNumberFormat="1" applyAlignment="1">
      <alignment horizontal="center" vertical="center"/>
    </xf>
    <xf numFmtId="16" fontId="8" fillId="0" borderId="0" xfId="0" applyNumberFormat="1" applyFont="1" applyAlignment="1">
      <alignment horizontal="right"/>
    </xf>
    <xf numFmtId="16" fontId="11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8" fillId="2" borderId="11" xfId="0" applyFont="1" applyFill="1" applyBorder="1" applyAlignment="1">
      <alignment horizontal="left" vertical="center"/>
    </xf>
    <xf numFmtId="17" fontId="0" fillId="0" borderId="0" xfId="0" applyNumberFormat="1"/>
    <xf numFmtId="14" fontId="8" fillId="0" borderId="0" xfId="0" applyNumberFormat="1" applyFont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49" fontId="11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49" fontId="9" fillId="2" borderId="7" xfId="0" applyNumberFormat="1" applyFont="1" applyFill="1" applyBorder="1" applyAlignment="1">
      <alignment horizontal="left" vertical="center" wrapText="1"/>
    </xf>
    <xf numFmtId="167" fontId="5" fillId="0" borderId="7" xfId="1" applyNumberFormat="1" applyFont="1" applyBorder="1" applyAlignment="1">
      <alignment horizontal="left" vertical="center" indent="1"/>
    </xf>
    <xf numFmtId="167" fontId="5" fillId="0" borderId="7" xfId="1" applyNumberFormat="1" applyFont="1" applyBorder="1"/>
    <xf numFmtId="167" fontId="12" fillId="7" borderId="0" xfId="1" applyNumberFormat="1" applyFont="1" applyFill="1"/>
    <xf numFmtId="167" fontId="12" fillId="7" borderId="0" xfId="0" applyNumberFormat="1" applyFont="1" applyFill="1"/>
    <xf numFmtId="0" fontId="3" fillId="7" borderId="0" xfId="0" applyFont="1" applyFill="1" applyAlignment="1">
      <alignment horizontal="left"/>
    </xf>
    <xf numFmtId="167" fontId="12" fillId="12" borderId="0" xfId="1" applyNumberFormat="1" applyFont="1" applyFill="1"/>
    <xf numFmtId="0" fontId="3" fillId="12" borderId="0" xfId="0" applyFont="1" applyFill="1" applyAlignment="1">
      <alignment horizontal="left"/>
    </xf>
    <xf numFmtId="0" fontId="0" fillId="0" borderId="7" xfId="0" applyBorder="1" applyAlignment="1">
      <alignment wrapText="1"/>
    </xf>
    <xf numFmtId="0" fontId="8" fillId="0" borderId="6" xfId="0" applyFont="1" applyBorder="1" applyAlignment="1">
      <alignment horizontal="left" vertical="center"/>
    </xf>
    <xf numFmtId="0" fontId="27" fillId="11" borderId="35" xfId="0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/>
    </xf>
    <xf numFmtId="172" fontId="52" fillId="12" borderId="0" xfId="0" applyNumberFormat="1" applyFont="1" applyFill="1" applyAlignment="1">
      <alignment horizontal="left"/>
    </xf>
    <xf numFmtId="14" fontId="27" fillId="0" borderId="26" xfId="0" applyNumberFormat="1" applyFont="1" applyBorder="1" applyAlignment="1">
      <alignment vertical="center" wrapText="1"/>
    </xf>
    <xf numFmtId="0" fontId="54" fillId="0" borderId="0" xfId="0" applyFont="1"/>
    <xf numFmtId="165" fontId="54" fillId="0" borderId="0" xfId="1" applyFont="1"/>
    <xf numFmtId="0" fontId="57" fillId="0" borderId="0" xfId="0" applyFont="1"/>
    <xf numFmtId="167" fontId="58" fillId="7" borderId="0" xfId="1" applyNumberFormat="1" applyFont="1" applyFill="1"/>
    <xf numFmtId="167" fontId="58" fillId="7" borderId="0" xfId="0" applyNumberFormat="1" applyFont="1" applyFill="1"/>
    <xf numFmtId="0" fontId="59" fillId="7" borderId="0" xfId="0" applyFont="1" applyFill="1" applyAlignment="1">
      <alignment horizontal="left"/>
    </xf>
    <xf numFmtId="0" fontId="60" fillId="7" borderId="0" xfId="0" applyFont="1" applyFill="1" applyAlignment="1">
      <alignment horizontal="left"/>
    </xf>
    <xf numFmtId="168" fontId="61" fillId="7" borderId="0" xfId="1" applyNumberFormat="1" applyFont="1" applyFill="1" applyAlignment="1">
      <alignment horizontal="center"/>
    </xf>
    <xf numFmtId="0" fontId="59" fillId="7" borderId="0" xfId="0" applyFont="1" applyFill="1"/>
    <xf numFmtId="169" fontId="63" fillId="7" borderId="0" xfId="1" applyNumberFormat="1" applyFont="1" applyFill="1" applyAlignment="1">
      <alignment horizontal="center"/>
    </xf>
    <xf numFmtId="168" fontId="63" fillId="7" borderId="0" xfId="1" applyNumberFormat="1" applyFont="1" applyFill="1" applyAlignment="1">
      <alignment horizontal="center"/>
    </xf>
    <xf numFmtId="0" fontId="60" fillId="2" borderId="0" xfId="0" applyFont="1" applyFill="1" applyAlignment="1">
      <alignment horizontal="left"/>
    </xf>
    <xf numFmtId="168" fontId="61" fillId="2" borderId="0" xfId="1" applyNumberFormat="1" applyFont="1" applyFill="1" applyAlignment="1">
      <alignment horizontal="center"/>
    </xf>
    <xf numFmtId="0" fontId="54" fillId="2" borderId="0" xfId="0" applyFont="1" applyFill="1"/>
    <xf numFmtId="0" fontId="60" fillId="0" borderId="0" xfId="0" applyFont="1"/>
    <xf numFmtId="166" fontId="54" fillId="0" borderId="0" xfId="0" applyNumberFormat="1" applyFont="1"/>
    <xf numFmtId="0" fontId="54" fillId="0" borderId="7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166" fontId="54" fillId="0" borderId="7" xfId="0" applyNumberFormat="1" applyFont="1" applyBorder="1" applyAlignment="1">
      <alignment horizontal="center" vertical="center" wrapText="1"/>
    </xf>
    <xf numFmtId="165" fontId="54" fillId="0" borderId="7" xfId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7" xfId="0" applyFont="1" applyBorder="1"/>
    <xf numFmtId="0" fontId="54" fillId="0" borderId="8" xfId="0" applyFont="1" applyBorder="1"/>
    <xf numFmtId="165" fontId="59" fillId="0" borderId="7" xfId="1" applyFont="1" applyBorder="1"/>
    <xf numFmtId="166" fontId="54" fillId="0" borderId="7" xfId="0" applyNumberFormat="1" applyFont="1" applyBorder="1"/>
    <xf numFmtId="0" fontId="54" fillId="0" borderId="15" xfId="0" applyFont="1" applyBorder="1"/>
    <xf numFmtId="165" fontId="59" fillId="0" borderId="15" xfId="1" applyFont="1" applyBorder="1"/>
    <xf numFmtId="49" fontId="64" fillId="2" borderId="15" xfId="0" applyNumberFormat="1" applyFont="1" applyFill="1" applyBorder="1" applyAlignment="1">
      <alignment horizontal="left" vertical="center" wrapText="1"/>
    </xf>
    <xf numFmtId="49" fontId="64" fillId="2" borderId="7" xfId="0" applyNumberFormat="1" applyFont="1" applyFill="1" applyBorder="1" applyAlignment="1">
      <alignment vertical="center"/>
    </xf>
    <xf numFmtId="49" fontId="64" fillId="2" borderId="14" xfId="0" applyNumberFormat="1" applyFont="1" applyFill="1" applyBorder="1" applyAlignment="1">
      <alignment horizontal="left" vertical="center" wrapText="1"/>
    </xf>
    <xf numFmtId="165" fontId="59" fillId="0" borderId="8" xfId="1" applyFont="1" applyBorder="1"/>
    <xf numFmtId="49" fontId="64" fillId="2" borderId="7" xfId="0" applyNumberFormat="1" applyFont="1" applyFill="1" applyBorder="1" applyAlignment="1">
      <alignment horizontal="left" vertical="center" wrapText="1"/>
    </xf>
    <xf numFmtId="49" fontId="64" fillId="2" borderId="13" xfId="0" applyNumberFormat="1" applyFont="1" applyFill="1" applyBorder="1" applyAlignment="1">
      <alignment vertical="center"/>
    </xf>
    <xf numFmtId="49" fontId="54" fillId="0" borderId="14" xfId="0" applyNumberFormat="1" applyFont="1" applyBorder="1"/>
    <xf numFmtId="0" fontId="54" fillId="2" borderId="13" xfId="0" applyFont="1" applyFill="1" applyBorder="1" applyAlignment="1">
      <alignment horizontal="left" vertical="center"/>
    </xf>
    <xf numFmtId="170" fontId="65" fillId="0" borderId="7" xfId="1" applyNumberFormat="1" applyFont="1" applyBorder="1" applyAlignment="1">
      <alignment horizontal="center"/>
    </xf>
    <xf numFmtId="165" fontId="65" fillId="0" borderId="7" xfId="1" applyFont="1" applyBorder="1" applyAlignment="1">
      <alignment horizontal="center"/>
    </xf>
    <xf numFmtId="49" fontId="54" fillId="2" borderId="7" xfId="1" applyNumberFormat="1" applyFont="1" applyFill="1" applyBorder="1" applyAlignment="1">
      <alignment horizontal="left" vertical="center"/>
    </xf>
    <xf numFmtId="49" fontId="54" fillId="2" borderId="7" xfId="0" applyNumberFormat="1" applyFont="1" applyFill="1" applyBorder="1" applyAlignment="1">
      <alignment horizontal="left" vertical="center"/>
    </xf>
    <xf numFmtId="0" fontId="54" fillId="2" borderId="7" xfId="0" applyFont="1" applyFill="1" applyBorder="1" applyAlignment="1">
      <alignment horizontal="left" vertical="center"/>
    </xf>
    <xf numFmtId="0" fontId="54" fillId="0" borderId="7" xfId="0" applyFont="1" applyBorder="1" applyAlignment="1">
      <alignment horizontal="left" vertical="center"/>
    </xf>
    <xf numFmtId="2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left" vertical="center"/>
    </xf>
    <xf numFmtId="0" fontId="66" fillId="0" borderId="7" xfId="0" applyFont="1" applyBorder="1" applyAlignment="1">
      <alignment horizontal="left" vertical="center"/>
    </xf>
    <xf numFmtId="0" fontId="54" fillId="0" borderId="11" xfId="0" applyFont="1" applyBorder="1" applyAlignment="1">
      <alignment horizontal="left" vertical="center"/>
    </xf>
    <xf numFmtId="0" fontId="54" fillId="0" borderId="7" xfId="0" applyFont="1" applyBorder="1" applyAlignment="1">
      <alignment vertical="center" wrapText="1"/>
    </xf>
    <xf numFmtId="0" fontId="54" fillId="0" borderId="7" xfId="0" applyFont="1" applyBorder="1" applyAlignment="1">
      <alignment vertical="center"/>
    </xf>
    <xf numFmtId="0" fontId="54" fillId="0" borderId="14" xfId="0" applyFont="1" applyBorder="1"/>
    <xf numFmtId="49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/>
    </xf>
    <xf numFmtId="0" fontId="54" fillId="0" borderId="7" xfId="0" applyFont="1" applyBorder="1" applyAlignment="1">
      <alignment horizontal="left" vertical="top"/>
    </xf>
    <xf numFmtId="49" fontId="54" fillId="0" borderId="7" xfId="0" applyNumberFormat="1" applyFont="1" applyBorder="1" applyAlignment="1">
      <alignment horizontal="left"/>
    </xf>
    <xf numFmtId="0" fontId="54" fillId="0" borderId="13" xfId="0" applyFont="1" applyBorder="1" applyAlignment="1">
      <alignment horizontal="left"/>
    </xf>
    <xf numFmtId="0" fontId="54" fillId="0" borderId="13" xfId="0" applyFont="1" applyBorder="1"/>
    <xf numFmtId="49" fontId="54" fillId="0" borderId="25" xfId="0" applyNumberFormat="1" applyFont="1" applyBorder="1"/>
    <xf numFmtId="49" fontId="54" fillId="0" borderId="15" xfId="0" applyNumberFormat="1" applyFont="1" applyBorder="1"/>
    <xf numFmtId="49" fontId="54" fillId="0" borderId="11" xfId="0" applyNumberFormat="1" applyFont="1" applyBorder="1"/>
    <xf numFmtId="165" fontId="67" fillId="0" borderId="8" xfId="1" applyFont="1" applyBorder="1"/>
    <xf numFmtId="165" fontId="68" fillId="0" borderId="7" xfId="1" applyFont="1" applyBorder="1"/>
    <xf numFmtId="0" fontId="54" fillId="0" borderId="36" xfId="0" applyFont="1" applyBorder="1" applyAlignment="1">
      <alignment horizontal="left" vertical="center"/>
    </xf>
    <xf numFmtId="165" fontId="54" fillId="0" borderId="0" xfId="0" applyNumberFormat="1" applyFont="1"/>
    <xf numFmtId="49" fontId="54" fillId="0" borderId="0" xfId="0" applyNumberFormat="1" applyFont="1"/>
    <xf numFmtId="165" fontId="5" fillId="14" borderId="7" xfId="1" applyFont="1" applyFill="1" applyBorder="1" applyAlignment="1">
      <alignment wrapText="1"/>
    </xf>
    <xf numFmtId="165" fontId="5" fillId="14" borderId="0" xfId="1" applyFont="1" applyFill="1" applyAlignment="1">
      <alignment wrapText="1"/>
    </xf>
    <xf numFmtId="0" fontId="69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center" wrapText="1"/>
    </xf>
    <xf numFmtId="167" fontId="5" fillId="0" borderId="0" xfId="1" applyNumberFormat="1" applyFont="1" applyAlignment="1">
      <alignment wrapText="1"/>
    </xf>
    <xf numFmtId="167" fontId="0" fillId="0" borderId="0" xfId="0" applyNumberFormat="1" applyAlignment="1">
      <alignment wrapText="1"/>
    </xf>
    <xf numFmtId="167" fontId="0" fillId="0" borderId="0" xfId="1" applyNumberFormat="1" applyFont="1" applyAlignment="1">
      <alignment wrapText="1"/>
    </xf>
    <xf numFmtId="167" fontId="5" fillId="0" borderId="0" xfId="0" applyNumberFormat="1" applyFont="1" applyAlignment="1">
      <alignment wrapText="1"/>
    </xf>
    <xf numFmtId="43" fontId="0" fillId="0" borderId="7" xfId="0" applyNumberFormat="1" applyBorder="1" applyAlignment="1">
      <alignment wrapText="1"/>
    </xf>
    <xf numFmtId="165" fontId="58" fillId="7" borderId="0" xfId="1" applyFont="1" applyFill="1"/>
    <xf numFmtId="165" fontId="18" fillId="0" borderId="0" xfId="1" applyFont="1" applyAlignment="1">
      <alignment horizontal="left"/>
    </xf>
    <xf numFmtId="2" fontId="5" fillId="2" borderId="2" xfId="0" applyNumberFormat="1" applyFont="1" applyFill="1" applyBorder="1" applyAlignment="1">
      <alignment horizontal="left" wrapText="1"/>
    </xf>
    <xf numFmtId="173" fontId="0" fillId="0" borderId="7" xfId="0" applyNumberFormat="1" applyBorder="1" applyAlignment="1">
      <alignment wrapText="1"/>
    </xf>
    <xf numFmtId="173" fontId="0" fillId="0" borderId="0" xfId="0" applyNumberFormat="1" applyAlignment="1">
      <alignment wrapText="1"/>
    </xf>
    <xf numFmtId="172" fontId="0" fillId="0" borderId="0" xfId="0" applyNumberFormat="1" applyAlignment="1">
      <alignment wrapText="1"/>
    </xf>
    <xf numFmtId="0" fontId="26" fillId="15" borderId="0" xfId="0" applyFont="1" applyFill="1"/>
    <xf numFmtId="0" fontId="8" fillId="2" borderId="7" xfId="0" applyFont="1" applyFill="1" applyBorder="1" applyAlignment="1">
      <alignment horizontal="left" vertical="center" wrapText="1"/>
    </xf>
    <xf numFmtId="0" fontId="41" fillId="0" borderId="0" xfId="0" applyFont="1" applyAlignment="1">
      <alignment wrapText="1"/>
    </xf>
    <xf numFmtId="172" fontId="11" fillId="0" borderId="13" xfId="0" applyNumberFormat="1" applyFont="1" applyBorder="1" applyAlignment="1">
      <alignment horizontal="center" wrapText="1"/>
    </xf>
    <xf numFmtId="165" fontId="0" fillId="0" borderId="0" xfId="1" applyFont="1" applyAlignment="1">
      <alignment wrapText="1"/>
    </xf>
    <xf numFmtId="0" fontId="9" fillId="0" borderId="7" xfId="0" applyFont="1" applyBorder="1" applyAlignment="1">
      <alignment horizontal="left" vertical="center"/>
    </xf>
    <xf numFmtId="0" fontId="9" fillId="9" borderId="7" xfId="0" applyFont="1" applyFill="1" applyBorder="1" applyAlignment="1">
      <alignment horizontal="left" vertical="center"/>
    </xf>
    <xf numFmtId="0" fontId="9" fillId="9" borderId="50" xfId="0" applyFont="1" applyFill="1" applyBorder="1" applyAlignment="1">
      <alignment horizontal="left"/>
    </xf>
    <xf numFmtId="1" fontId="9" fillId="9" borderId="2" xfId="0" applyNumberFormat="1" applyFont="1" applyFill="1" applyBorder="1" applyAlignment="1">
      <alignment horizontal="left"/>
    </xf>
    <xf numFmtId="167" fontId="0" fillId="0" borderId="0" xfId="1" applyNumberFormat="1" applyFont="1" applyAlignment="1">
      <alignment horizontal="right" wrapText="1"/>
    </xf>
    <xf numFmtId="0" fontId="71" fillId="9" borderId="7" xfId="0" applyFont="1" applyFill="1" applyBorder="1"/>
    <xf numFmtId="49" fontId="71" fillId="9" borderId="14" xfId="0" applyNumberFormat="1" applyFont="1" applyFill="1" applyBorder="1"/>
    <xf numFmtId="0" fontId="71" fillId="9" borderId="7" xfId="0" applyFont="1" applyFill="1" applyBorder="1" applyAlignment="1">
      <alignment horizontal="left" vertical="center"/>
    </xf>
    <xf numFmtId="165" fontId="45" fillId="9" borderId="7" xfId="1" applyFont="1" applyFill="1" applyBorder="1" applyAlignment="1">
      <alignment horizontal="center"/>
    </xf>
    <xf numFmtId="165" fontId="72" fillId="9" borderId="7" xfId="1" applyFont="1" applyFill="1" applyBorder="1"/>
    <xf numFmtId="0" fontId="9" fillId="10" borderId="6" xfId="0" applyFont="1" applyFill="1" applyBorder="1" applyAlignment="1">
      <alignment horizontal="left" vertical="center"/>
    </xf>
    <xf numFmtId="49" fontId="18" fillId="0" borderId="0" xfId="0" applyNumberFormat="1" applyFont="1" applyAlignment="1">
      <alignment horizontal="left" vertical="top" wrapText="1"/>
    </xf>
    <xf numFmtId="49" fontId="8" fillId="2" borderId="53" xfId="0" applyNumberFormat="1" applyFont="1" applyFill="1" applyBorder="1" applyAlignment="1">
      <alignment horizontal="center" vertical="center" wrapText="1"/>
    </xf>
    <xf numFmtId="49" fontId="8" fillId="2" borderId="54" xfId="0" applyNumberFormat="1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left" vertical="center"/>
    </xf>
    <xf numFmtId="49" fontId="11" fillId="9" borderId="7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Border="1" applyAlignment="1">
      <alignment vertical="center" wrapText="1"/>
    </xf>
    <xf numFmtId="49" fontId="18" fillId="0" borderId="26" xfId="0" applyNumberFormat="1" applyFont="1" applyBorder="1" applyAlignment="1">
      <alignment vertical="top" wrapText="1"/>
    </xf>
    <xf numFmtId="165" fontId="5" fillId="0" borderId="11" xfId="1" applyFont="1" applyBorder="1"/>
    <xf numFmtId="165" fontId="18" fillId="9" borderId="11" xfId="1" applyFont="1" applyFill="1" applyBorder="1"/>
    <xf numFmtId="165" fontId="18" fillId="0" borderId="7" xfId="1" applyFont="1" applyBorder="1"/>
    <xf numFmtId="1" fontId="0" fillId="0" borderId="0" xfId="0" applyNumberFormat="1" applyAlignment="1">
      <alignment wrapText="1"/>
    </xf>
    <xf numFmtId="0" fontId="41" fillId="0" borderId="7" xfId="0" applyFont="1" applyBorder="1" applyAlignment="1">
      <alignment wrapText="1"/>
    </xf>
    <xf numFmtId="174" fontId="9" fillId="10" borderId="43" xfId="0" applyNumberFormat="1" applyFont="1" applyFill="1" applyBorder="1" applyAlignment="1">
      <alignment horizontal="left" vertical="center"/>
    </xf>
    <xf numFmtId="174" fontId="9" fillId="0" borderId="28" xfId="0" applyNumberFormat="1" applyFont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14" fontId="9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7" fontId="9" fillId="9" borderId="8" xfId="1" applyNumberFormat="1" applyFont="1" applyFill="1" applyBorder="1" applyAlignment="1">
      <alignment horizontal="left"/>
    </xf>
    <xf numFmtId="0" fontId="5" fillId="0" borderId="0" xfId="0" applyFont="1" applyAlignment="1">
      <alignment wrapText="1"/>
    </xf>
    <xf numFmtId="0" fontId="8" fillId="0" borderId="41" xfId="0" applyFont="1" applyBorder="1" applyAlignment="1">
      <alignment horizontal="left"/>
    </xf>
    <xf numFmtId="0" fontId="5" fillId="9" borderId="28" xfId="0" applyFont="1" applyFill="1" applyBorder="1" applyAlignment="1">
      <alignment horizontal="left"/>
    </xf>
    <xf numFmtId="49" fontId="4" fillId="2" borderId="39" xfId="0" applyNumberFormat="1" applyFont="1" applyFill="1" applyBorder="1" applyAlignment="1">
      <alignment horizontal="left"/>
    </xf>
    <xf numFmtId="2" fontId="5" fillId="0" borderId="40" xfId="0" applyNumberFormat="1" applyFont="1" applyBorder="1" applyAlignment="1">
      <alignment horizontal="left"/>
    </xf>
    <xf numFmtId="0" fontId="50" fillId="9" borderId="5" xfId="0" applyFont="1" applyFill="1" applyBorder="1" applyAlignment="1">
      <alignment horizontal="left"/>
    </xf>
    <xf numFmtId="0" fontId="9" fillId="8" borderId="7" xfId="0" applyFont="1" applyFill="1" applyBorder="1" applyAlignment="1">
      <alignment horizontal="center"/>
    </xf>
    <xf numFmtId="1" fontId="9" fillId="8" borderId="0" xfId="0" applyNumberFormat="1" applyFont="1" applyFill="1" applyAlignment="1">
      <alignment horizontal="center" vertical="center"/>
    </xf>
    <xf numFmtId="1" fontId="9" fillId="8" borderId="0" xfId="0" applyNumberFormat="1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52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167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5" fontId="17" fillId="0" borderId="8" xfId="1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4" fontId="11" fillId="0" borderId="0" xfId="0" applyNumberFormat="1" applyFont="1" applyAlignment="1">
      <alignment horizontal="center" vertical="center" wrapText="1"/>
    </xf>
    <xf numFmtId="14" fontId="9" fillId="0" borderId="26" xfId="0" applyNumberFormat="1" applyFont="1" applyBorder="1" applyAlignment="1">
      <alignment vertical="center"/>
    </xf>
    <xf numFmtId="14" fontId="0" fillId="0" borderId="0" xfId="0" applyNumberFormat="1"/>
    <xf numFmtId="0" fontId="5" fillId="8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/>
    </xf>
    <xf numFmtId="0" fontId="0" fillId="11" borderId="0" xfId="0" applyFill="1" applyAlignment="1">
      <alignment horizontal="right" vertical="center" wrapText="1"/>
    </xf>
    <xf numFmtId="0" fontId="8" fillId="2" borderId="55" xfId="0" applyFont="1" applyFill="1" applyBorder="1" applyAlignment="1">
      <alignment horizontal="left" vertical="center"/>
    </xf>
    <xf numFmtId="0" fontId="11" fillId="0" borderId="14" xfId="0" applyFont="1" applyBorder="1" applyAlignment="1">
      <alignment wrapText="1"/>
    </xf>
    <xf numFmtId="1" fontId="11" fillId="0" borderId="14" xfId="0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wrapText="1"/>
    </xf>
    <xf numFmtId="0" fontId="73" fillId="0" borderId="0" xfId="0" applyFont="1" applyAlignment="1">
      <alignment vertical="center" wrapText="1"/>
    </xf>
    <xf numFmtId="2" fontId="0" fillId="0" borderId="0" xfId="0" applyNumberFormat="1" applyAlignment="1">
      <alignment wrapText="1"/>
    </xf>
    <xf numFmtId="1" fontId="11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8" fillId="10" borderId="15" xfId="0" applyFont="1" applyFill="1" applyBorder="1" applyAlignment="1">
      <alignment horizontal="left" vertical="center"/>
    </xf>
    <xf numFmtId="1" fontId="5" fillId="9" borderId="7" xfId="0" applyNumberFormat="1" applyFont="1" applyFill="1" applyBorder="1" applyAlignment="1">
      <alignment horizontal="right" vertical="center"/>
    </xf>
    <xf numFmtId="0" fontId="8" fillId="10" borderId="30" xfId="0" applyFont="1" applyFill="1" applyBorder="1" applyAlignment="1">
      <alignment horizontal="left" vertical="center"/>
    </xf>
    <xf numFmtId="0" fontId="8" fillId="10" borderId="50" xfId="0" applyFont="1" applyFill="1" applyBorder="1" applyAlignment="1">
      <alignment horizontal="left" vertical="center"/>
    </xf>
    <xf numFmtId="0" fontId="8" fillId="10" borderId="43" xfId="0" applyFont="1" applyFill="1" applyBorder="1" applyAlignment="1">
      <alignment horizontal="left" vertical="center"/>
    </xf>
    <xf numFmtId="0" fontId="8" fillId="10" borderId="42" xfId="0" applyFont="1" applyFill="1" applyBorder="1" applyAlignment="1">
      <alignment horizontal="left" vertical="center"/>
    </xf>
    <xf numFmtId="172" fontId="11" fillId="0" borderId="0" xfId="0" applyNumberFormat="1" applyFont="1" applyAlignment="1">
      <alignment wrapText="1"/>
    </xf>
    <xf numFmtId="49" fontId="8" fillId="0" borderId="38" xfId="0" applyNumberFormat="1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0" fillId="0" borderId="7" xfId="0" applyBorder="1" applyAlignment="1">
      <alignment horizontal="right"/>
    </xf>
    <xf numFmtId="49" fontId="5" fillId="9" borderId="2" xfId="0" applyNumberFormat="1" applyFont="1" applyFill="1" applyBorder="1" applyAlignment="1">
      <alignment horizontal="left" vertical="top"/>
    </xf>
    <xf numFmtId="1" fontId="5" fillId="9" borderId="2" xfId="0" applyNumberFormat="1" applyFont="1" applyFill="1" applyBorder="1" applyAlignment="1">
      <alignment horizontal="left" vertical="center"/>
    </xf>
    <xf numFmtId="2" fontId="11" fillId="0" borderId="13" xfId="0" applyNumberFormat="1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49" fontId="11" fillId="10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11" borderId="7" xfId="0" applyFont="1" applyFill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top" wrapText="1"/>
    </xf>
    <xf numFmtId="1" fontId="11" fillId="2" borderId="7" xfId="2" applyNumberFormat="1" applyFont="1" applyFill="1" applyBorder="1" applyAlignment="1">
      <alignment horizontal="right" vertical="center"/>
    </xf>
    <xf numFmtId="0" fontId="7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left" vertical="top" wrapText="1"/>
    </xf>
    <xf numFmtId="0" fontId="8" fillId="2" borderId="8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49" fontId="8" fillId="2" borderId="12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49" fontId="11" fillId="2" borderId="24" xfId="0" applyNumberFormat="1" applyFont="1" applyFill="1" applyBorder="1" applyAlignment="1">
      <alignment horizontal="left" vertical="center" wrapText="1" indent="1"/>
    </xf>
    <xf numFmtId="0" fontId="8" fillId="10" borderId="7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27" fillId="0" borderId="0" xfId="0" applyNumberFormat="1" applyFont="1" applyAlignment="1">
      <alignment vertical="center" wrapText="1"/>
    </xf>
    <xf numFmtId="0" fontId="8" fillId="8" borderId="2" xfId="0" applyFont="1" applyFill="1" applyBorder="1" applyAlignment="1">
      <alignment horizontal="left"/>
    </xf>
    <xf numFmtId="176" fontId="70" fillId="0" borderId="0" xfId="1" applyNumberFormat="1" applyFont="1" applyAlignment="1">
      <alignment wrapText="1"/>
    </xf>
    <xf numFmtId="177" fontId="77" fillId="0" borderId="7" xfId="0" applyNumberFormat="1" applyFont="1" applyBorder="1"/>
    <xf numFmtId="0" fontId="74" fillId="0" borderId="7" xfId="0" applyFont="1" applyBorder="1" applyAlignment="1">
      <alignment horizontal="left" vertical="center"/>
    </xf>
    <xf numFmtId="1" fontId="8" fillId="11" borderId="4" xfId="0" applyNumberFormat="1" applyFont="1" applyFill="1" applyBorder="1" applyAlignment="1">
      <alignment horizontal="left" vertical="center"/>
    </xf>
    <xf numFmtId="1" fontId="8" fillId="11" borderId="3" xfId="0" applyNumberFormat="1" applyFont="1" applyFill="1" applyBorder="1" applyAlignment="1">
      <alignment horizontal="left" vertical="center"/>
    </xf>
    <xf numFmtId="0" fontId="78" fillId="11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horizontal="left"/>
    </xf>
    <xf numFmtId="0" fontId="0" fillId="0" borderId="7" xfId="0" applyBorder="1" applyAlignment="1">
      <alignment horizontal="center"/>
    </xf>
    <xf numFmtId="1" fontId="11" fillId="0" borderId="7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left" vertical="center"/>
    </xf>
    <xf numFmtId="0" fontId="8" fillId="11" borderId="2" xfId="0" applyFont="1" applyFill="1" applyBorder="1" applyAlignment="1">
      <alignment horizontal="left"/>
    </xf>
    <xf numFmtId="0" fontId="8" fillId="16" borderId="7" xfId="0" applyFont="1" applyFill="1" applyBorder="1" applyAlignment="1">
      <alignment horizontal="left" vertical="center"/>
    </xf>
    <xf numFmtId="1" fontId="51" fillId="0" borderId="7" xfId="0" applyNumberFormat="1" applyFont="1" applyBorder="1" applyAlignment="1">
      <alignment horizontal="center" vertical="center" wrapText="1"/>
    </xf>
    <xf numFmtId="14" fontId="0" fillId="11" borderId="0" xfId="0" applyNumberFormat="1" applyFill="1" applyAlignment="1">
      <alignment horizontal="right"/>
    </xf>
    <xf numFmtId="2" fontId="5" fillId="0" borderId="28" xfId="0" applyNumberFormat="1" applyFont="1" applyBorder="1"/>
    <xf numFmtId="0" fontId="47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11" borderId="26" xfId="0" applyFont="1" applyFill="1" applyBorder="1" applyAlignment="1">
      <alignment horizontal="left" vertical="center"/>
    </xf>
    <xf numFmtId="0" fontId="0" fillId="6" borderId="35" xfId="0" applyFill="1" applyBorder="1" applyAlignment="1">
      <alignment horizontal="left" vertical="center" wrapText="1"/>
    </xf>
    <xf numFmtId="0" fontId="8" fillId="11" borderId="7" xfId="0" applyFont="1" applyFill="1" applyBorder="1" applyAlignment="1">
      <alignment horizontal="left" vertical="center" wrapText="1"/>
    </xf>
    <xf numFmtId="0" fontId="11" fillId="11" borderId="27" xfId="0" applyFont="1" applyFill="1" applyBorder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78" fillId="0" borderId="0" xfId="0" applyFont="1" applyAlignment="1">
      <alignment vertical="center" wrapText="1"/>
    </xf>
    <xf numFmtId="0" fontId="6" fillId="11" borderId="0" xfId="0" applyFont="1" applyFill="1" applyAlignment="1">
      <alignment horizontal="right"/>
    </xf>
    <xf numFmtId="49" fontId="8" fillId="11" borderId="5" xfId="1" applyNumberFormat="1" applyFont="1" applyFill="1" applyBorder="1" applyAlignment="1">
      <alignment horizontal="left" vertical="center"/>
    </xf>
    <xf numFmtId="0" fontId="8" fillId="2" borderId="2" xfId="4" applyFont="1" applyFill="1" applyBorder="1" applyAlignment="1">
      <alignment horizontal="left" vertical="center"/>
    </xf>
    <xf numFmtId="0" fontId="8" fillId="2" borderId="36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 wrapText="1"/>
    </xf>
    <xf numFmtId="49" fontId="8" fillId="2" borderId="36" xfId="4" applyNumberFormat="1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 wrapText="1"/>
    </xf>
    <xf numFmtId="49" fontId="8" fillId="0" borderId="36" xfId="4" applyNumberFormat="1" applyFont="1" applyBorder="1" applyAlignment="1">
      <alignment horizontal="left" vertical="center" wrapText="1"/>
    </xf>
    <xf numFmtId="49" fontId="8" fillId="11" borderId="2" xfId="4" applyNumberFormat="1" applyFont="1" applyFill="1" applyBorder="1" applyAlignment="1">
      <alignment horizontal="left" vertical="center" wrapText="1"/>
    </xf>
    <xf numFmtId="0" fontId="8" fillId="11" borderId="2" xfId="4" applyFont="1" applyFill="1" applyBorder="1" applyAlignment="1">
      <alignment horizontal="left" vertical="center"/>
    </xf>
    <xf numFmtId="0" fontId="8" fillId="0" borderId="36" xfId="4" applyFont="1" applyBorder="1" applyAlignment="1">
      <alignment horizontal="left" vertical="center"/>
    </xf>
    <xf numFmtId="0" fontId="8" fillId="0" borderId="2" xfId="4" applyFont="1" applyBorder="1" applyAlignment="1">
      <alignment horizontal="left" vertical="center"/>
    </xf>
    <xf numFmtId="0" fontId="8" fillId="0" borderId="2" xfId="4" applyFont="1" applyBorder="1" applyAlignment="1">
      <alignment horizontal="left"/>
    </xf>
    <xf numFmtId="49" fontId="8" fillId="0" borderId="36" xfId="4" applyNumberFormat="1" applyFont="1" applyBorder="1" applyAlignment="1">
      <alignment horizontal="left"/>
    </xf>
    <xf numFmtId="49" fontId="8" fillId="0" borderId="2" xfId="4" applyNumberFormat="1" applyFont="1" applyBorder="1" applyAlignment="1">
      <alignment horizontal="left"/>
    </xf>
    <xf numFmtId="0" fontId="8" fillId="0" borderId="36" xfId="4" applyFont="1" applyBorder="1" applyAlignment="1">
      <alignment horizontal="left"/>
    </xf>
    <xf numFmtId="0" fontId="8" fillId="0" borderId="36" xfId="4" applyFont="1" applyBorder="1" applyAlignment="1">
      <alignment horizontal="left" vertical="center" wrapText="1"/>
    </xf>
    <xf numFmtId="0" fontId="8" fillId="0" borderId="36" xfId="4" applyFont="1" applyBorder="1"/>
    <xf numFmtId="0" fontId="8" fillId="2" borderId="2" xfId="4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/>
    </xf>
    <xf numFmtId="49" fontId="8" fillId="0" borderId="36" xfId="4" applyNumberFormat="1" applyFont="1" applyBorder="1" applyAlignment="1">
      <alignment horizontal="left" vertical="center"/>
    </xf>
    <xf numFmtId="0" fontId="8" fillId="11" borderId="36" xfId="4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top"/>
    </xf>
    <xf numFmtId="49" fontId="8" fillId="2" borderId="2" xfId="4" applyNumberFormat="1" applyFont="1" applyFill="1" applyBorder="1" applyAlignment="1">
      <alignment wrapText="1"/>
    </xf>
    <xf numFmtId="49" fontId="8" fillId="11" borderId="11" xfId="4" applyNumberFormat="1" applyFont="1" applyFill="1" applyBorder="1" applyAlignment="1">
      <alignment horizontal="left" vertical="center" wrapText="1"/>
    </xf>
    <xf numFmtId="0" fontId="80" fillId="0" borderId="4" xfId="4" applyFont="1" applyBorder="1" applyAlignment="1">
      <alignment wrapText="1"/>
    </xf>
    <xf numFmtId="0" fontId="80" fillId="0" borderId="2" xfId="4" applyFont="1" applyBorder="1" applyAlignment="1">
      <alignment wrapText="1"/>
    </xf>
    <xf numFmtId="0" fontId="80" fillId="0" borderId="27" xfId="4" applyFont="1" applyBorder="1" applyAlignment="1">
      <alignment wrapText="1"/>
    </xf>
    <xf numFmtId="0" fontId="80" fillId="11" borderId="2" xfId="4" applyFont="1" applyFill="1" applyBorder="1" applyAlignment="1">
      <alignment wrapText="1"/>
    </xf>
    <xf numFmtId="0" fontId="26" fillId="11" borderId="27" xfId="4" applyFont="1" applyFill="1" applyBorder="1" applyAlignment="1">
      <alignment horizontal="left" vertical="center"/>
    </xf>
    <xf numFmtId="0" fontId="80" fillId="0" borderId="25" xfId="4" applyFont="1" applyBorder="1" applyAlignment="1">
      <alignment wrapText="1"/>
    </xf>
    <xf numFmtId="0" fontId="80" fillId="0" borderId="24" xfId="4" applyFont="1" applyBorder="1" applyAlignment="1">
      <alignment wrapText="1"/>
    </xf>
    <xf numFmtId="0" fontId="80" fillId="0" borderId="51" xfId="4" applyFont="1" applyBorder="1" applyAlignment="1">
      <alignment wrapText="1"/>
    </xf>
    <xf numFmtId="2" fontId="5" fillId="0" borderId="2" xfId="0" applyNumberFormat="1" applyFont="1" applyBorder="1" applyAlignment="1">
      <alignment horizontal="left"/>
    </xf>
    <xf numFmtId="49" fontId="8" fillId="11" borderId="2" xfId="5" applyNumberFormat="1" applyFont="1" applyFill="1" applyBorder="1" applyAlignment="1">
      <alignment horizontal="left" vertical="center"/>
    </xf>
    <xf numFmtId="0" fontId="80" fillId="0" borderId="2" xfId="4" applyFont="1" applyBorder="1" applyAlignment="1">
      <alignment horizontal="left" vertical="center" wrapText="1"/>
    </xf>
    <xf numFmtId="0" fontId="8" fillId="2" borderId="36" xfId="4" applyFont="1" applyFill="1" applyBorder="1" applyAlignment="1">
      <alignment horizontal="left" vertical="center" wrapText="1"/>
    </xf>
    <xf numFmtId="0" fontId="8" fillId="2" borderId="13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/>
    </xf>
    <xf numFmtId="49" fontId="8" fillId="2" borderId="36" xfId="4" applyNumberFormat="1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center" wrapText="1"/>
    </xf>
    <xf numFmtId="0" fontId="8" fillId="0" borderId="2" xfId="4" applyFont="1" applyBorder="1"/>
    <xf numFmtId="0" fontId="80" fillId="0" borderId="51" xfId="4" applyFont="1" applyBorder="1"/>
    <xf numFmtId="0" fontId="81" fillId="0" borderId="2" xfId="0" applyFont="1" applyBorder="1"/>
    <xf numFmtId="0" fontId="80" fillId="0" borderId="5" xfId="4" applyFont="1" applyBorder="1" applyAlignment="1">
      <alignment wrapText="1"/>
    </xf>
    <xf numFmtId="49" fontId="8" fillId="0" borderId="56" xfId="4" applyNumberFormat="1" applyFont="1" applyBorder="1" applyAlignment="1">
      <alignment horizontal="left" vertical="center"/>
    </xf>
    <xf numFmtId="0" fontId="8" fillId="0" borderId="56" xfId="4" applyFont="1" applyBorder="1" applyAlignment="1">
      <alignment horizontal="left" vertical="center"/>
    </xf>
    <xf numFmtId="0" fontId="80" fillId="0" borderId="51" xfId="4" applyFont="1" applyBorder="1" applyAlignment="1">
      <alignment vertical="center" wrapText="1"/>
    </xf>
    <xf numFmtId="49" fontId="8" fillId="0" borderId="2" xfId="4" applyNumberFormat="1" applyFont="1" applyBorder="1" applyAlignment="1">
      <alignment vertical="center"/>
    </xf>
    <xf numFmtId="49" fontId="8" fillId="11" borderId="56" xfId="4" applyNumberFormat="1" applyFont="1" applyFill="1" applyBorder="1" applyAlignment="1">
      <alignment horizontal="left" vertical="center"/>
    </xf>
    <xf numFmtId="49" fontId="8" fillId="11" borderId="2" xfId="4" applyNumberFormat="1" applyFont="1" applyFill="1" applyBorder="1" applyAlignment="1">
      <alignment horizontal="left" vertical="center"/>
    </xf>
    <xf numFmtId="49" fontId="8" fillId="2" borderId="56" xfId="4" applyNumberFormat="1" applyFont="1" applyFill="1" applyBorder="1" applyAlignment="1">
      <alignment horizontal="left" vertical="center" wrapText="1"/>
    </xf>
    <xf numFmtId="49" fontId="8" fillId="0" borderId="56" xfId="4" applyNumberFormat="1" applyFont="1" applyBorder="1" applyAlignment="1">
      <alignment horizontal="left"/>
    </xf>
    <xf numFmtId="0" fontId="8" fillId="0" borderId="56" xfId="4" applyFont="1" applyBorder="1" applyAlignment="1">
      <alignment horizontal="left"/>
    </xf>
    <xf numFmtId="49" fontId="8" fillId="0" borderId="56" xfId="4" applyNumberFormat="1" applyFont="1" applyBorder="1" applyAlignment="1">
      <alignment horizontal="left" vertical="center" wrapText="1"/>
    </xf>
    <xf numFmtId="49" fontId="8" fillId="0" borderId="2" xfId="4" applyNumberFormat="1" applyFont="1" applyBorder="1"/>
    <xf numFmtId="0" fontId="81" fillId="0" borderId="51" xfId="0" applyFont="1" applyBorder="1"/>
    <xf numFmtId="49" fontId="8" fillId="2" borderId="56" xfId="4" applyNumberFormat="1" applyFont="1" applyFill="1" applyBorder="1" applyAlignment="1">
      <alignment horizontal="left" vertical="center"/>
    </xf>
    <xf numFmtId="0" fontId="80" fillId="0" borderId="2" xfId="4" applyFont="1" applyBorder="1"/>
    <xf numFmtId="0" fontId="80" fillId="0" borderId="36" xfId="4" applyFont="1" applyBorder="1"/>
    <xf numFmtId="0" fontId="80" fillId="0" borderId="2" xfId="4" applyFont="1" applyBorder="1" applyAlignment="1">
      <alignment horizontal="left" vertical="center"/>
    </xf>
    <xf numFmtId="49" fontId="8" fillId="0" borderId="12" xfId="4" applyNumberFormat="1" applyFont="1" applyBorder="1" applyAlignment="1">
      <alignment horizontal="left" vertical="center" wrapText="1"/>
    </xf>
    <xf numFmtId="49" fontId="8" fillId="0" borderId="56" xfId="4" applyNumberFormat="1" applyFont="1" applyBorder="1"/>
    <xf numFmtId="49" fontId="8" fillId="0" borderId="36" xfId="4" applyNumberFormat="1" applyFont="1" applyBorder="1"/>
    <xf numFmtId="0" fontId="80" fillId="0" borderId="2" xfId="4" applyFont="1" applyBorder="1" applyAlignment="1">
      <alignment vertical="center" wrapText="1"/>
    </xf>
    <xf numFmtId="49" fontId="8" fillId="2" borderId="2" xfId="0" applyNumberFormat="1" applyFont="1" applyFill="1" applyBorder="1" applyAlignment="1">
      <alignment vertical="center"/>
    </xf>
    <xf numFmtId="49" fontId="8" fillId="0" borderId="13" xfId="4" applyNumberFormat="1" applyFont="1" applyBorder="1" applyAlignment="1">
      <alignment horizontal="left" vertical="center" wrapText="1"/>
    </xf>
    <xf numFmtId="0" fontId="25" fillId="6" borderId="32" xfId="0" applyFont="1" applyFill="1" applyBorder="1" applyAlignment="1">
      <alignment vertical="center" wrapText="1"/>
    </xf>
    <xf numFmtId="0" fontId="82" fillId="11" borderId="33" xfId="0" applyFont="1" applyFill="1" applyBorder="1" applyAlignment="1">
      <alignment horizontal="left" vertical="center" wrapText="1"/>
    </xf>
    <xf numFmtId="167" fontId="0" fillId="0" borderId="0" xfId="0" applyNumberFormat="1" applyAlignment="1">
      <alignment horizontal="left"/>
    </xf>
    <xf numFmtId="0" fontId="8" fillId="0" borderId="0" xfId="0" applyFont="1" applyAlignment="1">
      <alignment horizontal="center"/>
    </xf>
    <xf numFmtId="49" fontId="11" fillId="2" borderId="2" xfId="4" applyNumberFormat="1" applyFont="1" applyFill="1" applyBorder="1" applyAlignment="1">
      <alignment horizontal="left" vertical="center" wrapText="1"/>
    </xf>
    <xf numFmtId="0" fontId="18" fillId="11" borderId="0" xfId="0" applyFont="1" applyFill="1"/>
    <xf numFmtId="0" fontId="9" fillId="0" borderId="43" xfId="0" applyFont="1" applyBorder="1" applyAlignment="1">
      <alignment horizontal="left" vertical="center"/>
    </xf>
    <xf numFmtId="49" fontId="18" fillId="2" borderId="7" xfId="0" applyNumberFormat="1" applyFont="1" applyFill="1" applyBorder="1" applyAlignment="1">
      <alignment horizontal="left" vertical="center" wrapText="1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54" xfId="0" applyNumberFormat="1" applyFont="1" applyFill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left" vertical="center"/>
    </xf>
    <xf numFmtId="1" fontId="9" fillId="9" borderId="3" xfId="0" applyNumberFormat="1" applyFont="1" applyFill="1" applyBorder="1" applyAlignment="1">
      <alignment horizontal="left"/>
    </xf>
    <xf numFmtId="0" fontId="45" fillId="0" borderId="57" xfId="0" applyFont="1" applyBorder="1"/>
    <xf numFmtId="0" fontId="45" fillId="0" borderId="7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7" xfId="0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178" fontId="45" fillId="0" borderId="24" xfId="0" applyNumberFormat="1" applyFont="1" applyBorder="1"/>
    <xf numFmtId="0" fontId="45" fillId="0" borderId="14" xfId="0" applyFont="1" applyBorder="1"/>
    <xf numFmtId="0" fontId="45" fillId="0" borderId="49" xfId="0" applyFont="1" applyBorder="1" applyAlignment="1">
      <alignment horizontal="center"/>
    </xf>
    <xf numFmtId="2" fontId="45" fillId="0" borderId="11" xfId="0" applyNumberFormat="1" applyFont="1" applyBorder="1" applyAlignment="1">
      <alignment horizontal="center"/>
    </xf>
    <xf numFmtId="176" fontId="45" fillId="0" borderId="24" xfId="0" applyNumberFormat="1" applyFont="1" applyBorder="1"/>
    <xf numFmtId="179" fontId="45" fillId="0" borderId="24" xfId="0" applyNumberFormat="1" applyFont="1" applyBorder="1"/>
    <xf numFmtId="2" fontId="44" fillId="0" borderId="0" xfId="0" applyNumberFormat="1" applyFont="1" applyAlignment="1">
      <alignment horizontal="center"/>
    </xf>
    <xf numFmtId="0" fontId="5" fillId="11" borderId="0" xfId="0" applyFont="1" applyFill="1" applyAlignment="1">
      <alignment horizontal="center" vertical="center"/>
    </xf>
    <xf numFmtId="0" fontId="11" fillId="11" borderId="0" xfId="0" applyFont="1" applyFill="1"/>
    <xf numFmtId="0" fontId="5" fillId="11" borderId="0" xfId="0" applyFont="1" applyFill="1" applyAlignment="1">
      <alignment horizontal="left" vertical="center"/>
    </xf>
    <xf numFmtId="0" fontId="11" fillId="0" borderId="11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11" borderId="5" xfId="0" applyFont="1" applyFill="1" applyBorder="1" applyAlignment="1">
      <alignment horizontal="left"/>
    </xf>
    <xf numFmtId="49" fontId="0" fillId="11" borderId="0" xfId="0" applyNumberFormat="1" applyFill="1"/>
    <xf numFmtId="0" fontId="5" fillId="11" borderId="0" xfId="0" applyFont="1" applyFill="1"/>
    <xf numFmtId="0" fontId="80" fillId="0" borderId="3" xfId="4" applyFont="1" applyBorder="1" applyAlignment="1">
      <alignment wrapText="1"/>
    </xf>
    <xf numFmtId="49" fontId="8" fillId="0" borderId="28" xfId="4" applyNumberFormat="1" applyFont="1" applyBorder="1" applyAlignment="1">
      <alignment horizontal="left" vertical="center"/>
    </xf>
    <xf numFmtId="0" fontId="83" fillId="11" borderId="0" xfId="0" applyFont="1" applyFill="1" applyAlignment="1">
      <alignment horizontal="left" vertical="center" wrapText="1"/>
    </xf>
    <xf numFmtId="0" fontId="78" fillId="0" borderId="0" xfId="0" applyFont="1" applyAlignment="1">
      <alignment horizontal="center" vertical="center"/>
    </xf>
    <xf numFmtId="0" fontId="78" fillId="0" borderId="0" xfId="0" applyFont="1"/>
    <xf numFmtId="0" fontId="8" fillId="11" borderId="0" xfId="0" applyFont="1" applyFill="1" applyAlignment="1">
      <alignment horizontal="left"/>
    </xf>
    <xf numFmtId="49" fontId="8" fillId="0" borderId="3" xfId="0" applyNumberFormat="1" applyFont="1" applyBorder="1" applyAlignment="1">
      <alignment horizontal="left" vertical="center"/>
    </xf>
    <xf numFmtId="0" fontId="8" fillId="0" borderId="3" xfId="4" applyFont="1" applyBorder="1" applyAlignment="1">
      <alignment horizontal="left" vertical="center"/>
    </xf>
    <xf numFmtId="0" fontId="8" fillId="2" borderId="28" xfId="4" applyFont="1" applyFill="1" applyBorder="1" applyAlignment="1">
      <alignment horizontal="left" vertical="center"/>
    </xf>
    <xf numFmtId="49" fontId="8" fillId="0" borderId="0" xfId="4" applyNumberFormat="1" applyFont="1" applyAlignment="1">
      <alignment horizontal="left" vertical="center" wrapText="1"/>
    </xf>
    <xf numFmtId="0" fontId="48" fillId="0" borderId="0" xfId="0" applyFont="1"/>
    <xf numFmtId="0" fontId="5" fillId="0" borderId="0" xfId="0" applyFont="1" applyAlignment="1">
      <alignment horizontal="right" wrapText="1"/>
    </xf>
    <xf numFmtId="167" fontId="5" fillId="0" borderId="0" xfId="0" applyNumberFormat="1" applyFont="1" applyAlignment="1">
      <alignment horizontal="left" wrapText="1"/>
    </xf>
    <xf numFmtId="0" fontId="74" fillId="11" borderId="7" xfId="0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7" xfId="4" applyFont="1" applyBorder="1" applyAlignment="1">
      <alignment horizontal="left" vertical="center"/>
    </xf>
    <xf numFmtId="0" fontId="79" fillId="11" borderId="2" xfId="0" applyFont="1" applyFill="1" applyBorder="1" applyAlignment="1">
      <alignment horizontal="left"/>
    </xf>
    <xf numFmtId="49" fontId="18" fillId="10" borderId="7" xfId="0" applyNumberFormat="1" applyFont="1" applyFill="1" applyBorder="1" applyAlignment="1">
      <alignment horizontal="left" vertical="center" wrapText="1"/>
    </xf>
    <xf numFmtId="49" fontId="18" fillId="10" borderId="7" xfId="0" applyNumberFormat="1" applyFont="1" applyFill="1" applyBorder="1" applyAlignment="1">
      <alignment horizontal="left" vertical="center" wrapText="1" indent="1"/>
    </xf>
    <xf numFmtId="165" fontId="45" fillId="11" borderId="7" xfId="1" applyFont="1" applyFill="1" applyBorder="1"/>
    <xf numFmtId="165" fontId="3" fillId="0" borderId="7" xfId="1" applyFont="1" applyBorder="1"/>
    <xf numFmtId="167" fontId="45" fillId="16" borderId="7" xfId="1" applyNumberFormat="1" applyFont="1" applyFill="1" applyBorder="1"/>
    <xf numFmtId="2" fontId="11" fillId="0" borderId="7" xfId="0" applyNumberFormat="1" applyFont="1" applyBorder="1" applyAlignment="1">
      <alignment horizontal="center" wrapText="1"/>
    </xf>
    <xf numFmtId="0" fontId="80" fillId="0" borderId="2" xfId="0" applyFont="1" applyBorder="1" applyAlignment="1">
      <alignment wrapText="1"/>
    </xf>
    <xf numFmtId="0" fontId="80" fillId="0" borderId="27" xfId="4" applyFont="1" applyBorder="1"/>
    <xf numFmtId="2" fontId="11" fillId="0" borderId="7" xfId="0" applyNumberFormat="1" applyFont="1" applyBorder="1" applyAlignment="1">
      <alignment wrapText="1"/>
    </xf>
    <xf numFmtId="0" fontId="8" fillId="11" borderId="11" xfId="0" applyFont="1" applyFill="1" applyBorder="1" applyAlignment="1">
      <alignment horizontal="left" vertical="center"/>
    </xf>
    <xf numFmtId="0" fontId="8" fillId="0" borderId="3" xfId="4" applyFont="1" applyBorder="1" applyAlignment="1">
      <alignment horizontal="left" vertic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vertical="center" wrapText="1"/>
    </xf>
    <xf numFmtId="0" fontId="71" fillId="11" borderId="0" xfId="0" applyFont="1" applyFill="1" applyAlignment="1">
      <alignment horizontal="left" vertical="center"/>
    </xf>
    <xf numFmtId="14" fontId="8" fillId="11" borderId="7" xfId="0" applyNumberFormat="1" applyFont="1" applyFill="1" applyBorder="1" applyAlignment="1">
      <alignment horizontal="left" vertical="center" wrapText="1"/>
    </xf>
    <xf numFmtId="49" fontId="25" fillId="11" borderId="0" xfId="0" applyNumberFormat="1" applyFont="1" applyFill="1" applyAlignment="1">
      <alignment horizontal="left" vertical="center" wrapText="1"/>
    </xf>
    <xf numFmtId="0" fontId="42" fillId="0" borderId="0" xfId="0" applyFont="1" applyAlignment="1">
      <alignment horizontal="center" wrapText="1"/>
    </xf>
    <xf numFmtId="1" fontId="48" fillId="0" borderId="0" xfId="0" applyNumberFormat="1" applyFont="1" applyAlignment="1">
      <alignment vertical="center" wrapText="1"/>
    </xf>
    <xf numFmtId="0" fontId="18" fillId="11" borderId="0" xfId="0" applyFont="1" applyFill="1" applyAlignment="1">
      <alignment horizontal="right" vertical="center" wrapText="1" indent="1"/>
    </xf>
    <xf numFmtId="49" fontId="11" fillId="0" borderId="0" xfId="0" applyNumberFormat="1" applyFont="1" applyAlignment="1">
      <alignment horizontal="left" vertical="center" wrapText="1"/>
    </xf>
    <xf numFmtId="0" fontId="84" fillId="0" borderId="0" xfId="0" applyFont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4" fillId="0" borderId="0" xfId="0" applyFont="1" applyAlignment="1">
      <alignment horizontal="center"/>
    </xf>
    <xf numFmtId="0" fontId="84" fillId="0" borderId="7" xfId="0" applyFont="1" applyBorder="1"/>
    <xf numFmtId="14" fontId="9" fillId="9" borderId="7" xfId="0" applyNumberFormat="1" applyFont="1" applyFill="1" applyBorder="1" applyAlignment="1">
      <alignment horizontal="center"/>
    </xf>
    <xf numFmtId="0" fontId="9" fillId="11" borderId="11" xfId="0" applyFont="1" applyFill="1" applyBorder="1" applyAlignment="1">
      <alignment horizontal="center" vertical="center" wrapText="1"/>
    </xf>
    <xf numFmtId="0" fontId="84" fillId="0" borderId="7" xfId="0" applyFont="1" applyBorder="1" applyAlignment="1">
      <alignment horizontal="left"/>
    </xf>
    <xf numFmtId="49" fontId="84" fillId="0" borderId="7" xfId="0" applyNumberFormat="1" applyFont="1" applyBorder="1" applyAlignment="1">
      <alignment horizontal="left" wrapText="1"/>
    </xf>
    <xf numFmtId="1" fontId="9" fillId="10" borderId="7" xfId="0" applyNumberFormat="1" applyFont="1" applyFill="1" applyBorder="1" applyAlignment="1">
      <alignment horizontal="left" vertical="center"/>
    </xf>
    <xf numFmtId="49" fontId="18" fillId="11" borderId="7" xfId="0" applyNumberFormat="1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left" vertical="center"/>
    </xf>
    <xf numFmtId="1" fontId="11" fillId="0" borderId="0" xfId="0" applyNumberFormat="1" applyFont="1" applyAlignment="1">
      <alignment horizontal="center" wrapText="1"/>
    </xf>
    <xf numFmtId="0" fontId="5" fillId="0" borderId="14" xfId="0" applyFont="1" applyBorder="1"/>
    <xf numFmtId="0" fontId="0" fillId="11" borderId="15" xfId="0" applyFill="1" applyBorder="1"/>
    <xf numFmtId="0" fontId="0" fillId="11" borderId="8" xfId="0" applyFill="1" applyBorder="1"/>
    <xf numFmtId="1" fontId="9" fillId="9" borderId="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1" fontId="11" fillId="0" borderId="0" xfId="0" applyNumberFormat="1" applyFont="1" applyAlignment="1">
      <alignment wrapText="1"/>
    </xf>
    <xf numFmtId="0" fontId="11" fillId="0" borderId="0" xfId="0" applyFont="1" applyAlignment="1">
      <alignment horizontal="right" wrapText="1"/>
    </xf>
    <xf numFmtId="49" fontId="11" fillId="0" borderId="0" xfId="0" applyNumberFormat="1" applyFont="1" applyAlignment="1">
      <alignment horizontal="right" wrapText="1"/>
    </xf>
    <xf numFmtId="1" fontId="18" fillId="0" borderId="0" xfId="0" applyNumberFormat="1" applyFont="1" applyAlignment="1">
      <alignment wrapText="1"/>
    </xf>
    <xf numFmtId="2" fontId="18" fillId="0" borderId="0" xfId="0" applyNumberFormat="1" applyFont="1" applyAlignment="1">
      <alignment wrapText="1"/>
    </xf>
    <xf numFmtId="167" fontId="11" fillId="14" borderId="0" xfId="1" applyNumberFormat="1" applyFont="1" applyFill="1" applyAlignment="1">
      <alignment wrapText="1"/>
    </xf>
    <xf numFmtId="167" fontId="0" fillId="14" borderId="0" xfId="1" applyNumberFormat="1" applyFont="1" applyFill="1" applyAlignment="1">
      <alignment wrapText="1"/>
    </xf>
    <xf numFmtId="0" fontId="8" fillId="8" borderId="2" xfId="0" applyFont="1" applyFill="1" applyBorder="1" applyAlignment="1">
      <alignment horizontal="left" vertical="center"/>
    </xf>
    <xf numFmtId="0" fontId="80" fillId="0" borderId="41" xfId="4" applyFont="1" applyBorder="1" applyAlignment="1">
      <alignment wrapText="1"/>
    </xf>
    <xf numFmtId="0" fontId="0" fillId="8" borderId="0" xfId="0" applyFill="1"/>
    <xf numFmtId="167" fontId="5" fillId="11" borderId="0" xfId="1" applyNumberFormat="1" applyFont="1" applyFill="1" applyAlignment="1">
      <alignment wrapText="1"/>
    </xf>
    <xf numFmtId="0" fontId="8" fillId="11" borderId="40" xfId="0" applyFont="1" applyFill="1" applyBorder="1" applyAlignment="1">
      <alignment horizontal="left"/>
    </xf>
    <xf numFmtId="43" fontId="5" fillId="0" borderId="0" xfId="0" applyNumberFormat="1" applyFont="1" applyAlignment="1">
      <alignment wrapText="1"/>
    </xf>
    <xf numFmtId="0" fontId="8" fillId="11" borderId="0" xfId="0" applyFont="1" applyFill="1" applyAlignment="1">
      <alignment horizontal="left" vertical="center"/>
    </xf>
    <xf numFmtId="43" fontId="0" fillId="0" borderId="0" xfId="0" applyNumberFormat="1" applyAlignment="1">
      <alignment wrapText="1"/>
    </xf>
    <xf numFmtId="2" fontId="11" fillId="0" borderId="0" xfId="0" applyNumberFormat="1" applyFont="1" applyAlignment="1">
      <alignment wrapText="1"/>
    </xf>
    <xf numFmtId="14" fontId="9" fillId="11" borderId="0" xfId="0" applyNumberFormat="1" applyFont="1" applyFill="1" applyAlignment="1">
      <alignment horizontal="center"/>
    </xf>
    <xf numFmtId="49" fontId="9" fillId="11" borderId="0" xfId="0" applyNumberFormat="1" applyFont="1" applyFill="1" applyAlignment="1">
      <alignment horizontal="center" vertical="center" wrapText="1"/>
    </xf>
    <xf numFmtId="0" fontId="9" fillId="11" borderId="0" xfId="0" applyFont="1" applyFill="1" applyAlignment="1">
      <alignment horizontal="center" vertical="center"/>
    </xf>
    <xf numFmtId="14" fontId="9" fillId="11" borderId="0" xfId="0" applyNumberFormat="1" applyFont="1" applyFill="1"/>
    <xf numFmtId="0" fontId="0" fillId="9" borderId="0" xfId="0" applyFill="1"/>
    <xf numFmtId="0" fontId="0" fillId="0" borderId="26" xfId="0" applyBorder="1" applyAlignment="1">
      <alignment horizontal="left" vertical="center" wrapText="1"/>
    </xf>
    <xf numFmtId="14" fontId="0" fillId="11" borderId="0" xfId="0" applyNumberFormat="1" applyFill="1"/>
    <xf numFmtId="1" fontId="11" fillId="11" borderId="7" xfId="2" applyNumberFormat="1" applyFont="1" applyFill="1" applyBorder="1" applyAlignment="1">
      <alignment horizontal="right" vertical="center"/>
    </xf>
    <xf numFmtId="49" fontId="8" fillId="11" borderId="56" xfId="4" applyNumberFormat="1" applyFont="1" applyFill="1" applyBorder="1" applyAlignment="1">
      <alignment horizontal="left"/>
    </xf>
    <xf numFmtId="0" fontId="8" fillId="11" borderId="0" xfId="0" applyFont="1" applyFill="1" applyAlignment="1">
      <alignment horizontal="left" vertical="center" wrapText="1"/>
    </xf>
    <xf numFmtId="49" fontId="8" fillId="11" borderId="36" xfId="4" applyNumberFormat="1" applyFont="1" applyFill="1" applyBorder="1" applyAlignment="1">
      <alignment horizontal="left" vertical="center" wrapText="1"/>
    </xf>
    <xf numFmtId="177" fontId="77" fillId="0" borderId="0" xfId="0" applyNumberFormat="1" applyFont="1" applyAlignment="1">
      <alignment horizontal="left" vertical="center"/>
    </xf>
    <xf numFmtId="0" fontId="8" fillId="11" borderId="58" xfId="4" applyFont="1" applyFill="1" applyBorder="1" applyAlignment="1">
      <alignment horizontal="left" vertical="center" wrapText="1"/>
    </xf>
    <xf numFmtId="0" fontId="78" fillId="11" borderId="31" xfId="0" applyFont="1" applyFill="1" applyBorder="1" applyAlignment="1">
      <alignment horizontal="left" vertical="center" wrapText="1"/>
    </xf>
    <xf numFmtId="177" fontId="77" fillId="0" borderId="0" xfId="0" applyNumberFormat="1" applyFont="1"/>
    <xf numFmtId="1" fontId="8" fillId="8" borderId="2" xfId="0" applyNumberFormat="1" applyFont="1" applyFill="1" applyBorder="1" applyAlignment="1">
      <alignment horizontal="left" vertical="center"/>
    </xf>
    <xf numFmtId="0" fontId="6" fillId="4" borderId="0" xfId="0" applyFont="1" applyFill="1" applyAlignment="1">
      <alignment horizontal="left"/>
    </xf>
    <xf numFmtId="165" fontId="5" fillId="0" borderId="0" xfId="0" applyNumberFormat="1" applyFont="1" applyAlignment="1">
      <alignment wrapText="1"/>
    </xf>
    <xf numFmtId="176" fontId="5" fillId="0" borderId="0" xfId="0" applyNumberFormat="1" applyFont="1" applyAlignment="1">
      <alignment wrapText="1"/>
    </xf>
    <xf numFmtId="0" fontId="0" fillId="11" borderId="0" xfId="0" applyFill="1" applyAlignment="1">
      <alignment horizontal="left" vertical="center" wrapText="1"/>
    </xf>
    <xf numFmtId="0" fontId="8" fillId="11" borderId="4" xfId="0" applyFont="1" applyFill="1" applyBorder="1" applyAlignment="1">
      <alignment horizontal="left" vertical="center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left" vertical="center" wrapText="1"/>
    </xf>
    <xf numFmtId="49" fontId="9" fillId="2" borderId="27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1" xfId="0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42" fillId="0" borderId="4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left"/>
    </xf>
    <xf numFmtId="2" fontId="5" fillId="0" borderId="39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4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8" xfId="0" applyBorder="1" applyAlignment="1">
      <alignment horizontal="right"/>
    </xf>
    <xf numFmtId="0" fontId="42" fillId="0" borderId="27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26" fillId="6" borderId="32" xfId="0" applyFont="1" applyFill="1" applyBorder="1" applyAlignment="1">
      <alignment vertical="center" wrapText="1"/>
    </xf>
    <xf numFmtId="0" fontId="26" fillId="6" borderId="26" xfId="0" applyFont="1" applyFill="1" applyBorder="1" applyAlignment="1">
      <alignment vertical="center" wrapText="1"/>
    </xf>
    <xf numFmtId="0" fontId="26" fillId="6" borderId="35" xfId="0" applyFont="1" applyFill="1" applyBorder="1" applyAlignment="1">
      <alignment vertical="center" wrapText="1"/>
    </xf>
    <xf numFmtId="0" fontId="25" fillId="6" borderId="32" xfId="0" applyFont="1" applyFill="1" applyBorder="1" applyAlignment="1">
      <alignment vertical="center" wrapText="1"/>
    </xf>
    <xf numFmtId="0" fontId="25" fillId="6" borderId="26" xfId="0" applyFont="1" applyFill="1" applyBorder="1" applyAlignment="1">
      <alignment vertical="center" wrapText="1"/>
    </xf>
    <xf numFmtId="0" fontId="0" fillId="0" borderId="1" xfId="0" applyBorder="1" applyAlignment="1">
      <alignment horizontal="right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2" fontId="5" fillId="0" borderId="0" xfId="0" applyNumberFormat="1" applyFont="1" applyAlignment="1">
      <alignment horizontal="right" vertical="center"/>
    </xf>
    <xf numFmtId="0" fontId="42" fillId="0" borderId="51" xfId="0" applyFont="1" applyBorder="1" applyAlignment="1">
      <alignment horizont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right" vertical="center" wrapText="1" indent="1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left" vertical="center"/>
    </xf>
    <xf numFmtId="49" fontId="11" fillId="2" borderId="13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26" fillId="2" borderId="24" xfId="0" applyNumberFormat="1" applyFont="1" applyFill="1" applyBorder="1" applyAlignment="1">
      <alignment horizontal="left" vertical="center" wrapText="1"/>
    </xf>
    <xf numFmtId="49" fontId="26" fillId="2" borderId="10" xfId="0" applyNumberFormat="1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18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8" fillId="0" borderId="4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9" borderId="8" xfId="0" applyFont="1" applyFill="1" applyBorder="1" applyAlignment="1">
      <alignment horizont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7" fontId="8" fillId="9" borderId="13" xfId="1" applyNumberFormat="1" applyFont="1" applyFill="1" applyBorder="1" applyAlignment="1">
      <alignment horizontal="center" vertical="center" wrapText="1"/>
    </xf>
    <xf numFmtId="167" fontId="8" fillId="9" borderId="11" xfId="1" applyNumberFormat="1" applyFont="1" applyFill="1" applyBorder="1" applyAlignment="1">
      <alignment horizontal="center" vertical="center" wrapText="1"/>
    </xf>
    <xf numFmtId="0" fontId="5" fillId="11" borderId="5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54" fillId="0" borderId="7" xfId="0" applyFont="1" applyBorder="1" applyAlignment="1">
      <alignment vertical="center"/>
    </xf>
    <xf numFmtId="0" fontId="59" fillId="7" borderId="0" xfId="0" applyFont="1" applyFill="1" applyAlignment="1">
      <alignment horizontal="left"/>
    </xf>
    <xf numFmtId="0" fontId="54" fillId="7" borderId="0" xfId="0" applyFont="1" applyFill="1" applyAlignment="1">
      <alignment horizontal="left"/>
    </xf>
    <xf numFmtId="0" fontId="53" fillId="7" borderId="0" xfId="0" applyFont="1" applyFill="1" applyAlignment="1">
      <alignment horizontal="center" vertical="center"/>
    </xf>
    <xf numFmtId="0" fontId="55" fillId="7" borderId="0" xfId="0" applyFont="1" applyFill="1" applyAlignment="1">
      <alignment horizontal="center" vertical="center" wrapText="1"/>
    </xf>
    <xf numFmtId="0" fontId="57" fillId="7" borderId="0" xfId="0" applyFont="1" applyFill="1" applyAlignment="1">
      <alignment horizontal="center" wrapText="1"/>
    </xf>
    <xf numFmtId="0" fontId="16" fillId="7" borderId="0" xfId="0" applyFont="1" applyFill="1" applyAlignment="1">
      <alignment horizontal="left"/>
    </xf>
    <xf numFmtId="0" fontId="33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/>
    </xf>
    <xf numFmtId="0" fontId="31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wrapText="1"/>
    </xf>
    <xf numFmtId="49" fontId="11" fillId="2" borderId="13" xfId="0" applyNumberFormat="1" applyFont="1" applyFill="1" applyBorder="1" applyAlignment="1">
      <alignment horizontal="left" vertical="center" inden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9" xfId="0" applyNumberFormat="1" applyFont="1" applyFill="1" applyBorder="1" applyAlignment="1">
      <alignment horizontal="left" vertical="center" indent="1"/>
    </xf>
    <xf numFmtId="0" fontId="31" fillId="1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bki-server\Users\&#1045;&#1074;&#1075;&#1077;&#1085;&#1080;&#1081;%20&#1040;&#1088;&#1082;&#1072;&#1076;&#1100;&#1077;&#1074;&#1080;&#1095;\Downloads\&#1050;&#1086;&#1087;&#1080;&#1103;_2009-12_&#1069;&#1083;&#1077;&#1082;&#1090;&#1088;&#1080;&#1095;&#1077;&#1089;&#1090;&#1074;&#10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 сч"/>
      <sheetName val="МОП"/>
      <sheetName val="Неж пом"/>
      <sheetName val="Под 1 и 2"/>
      <sheetName val="Под 3"/>
      <sheetName val="Под 4 и 5"/>
      <sheetName val="Под 6"/>
    </sheetNames>
    <sheetDataSet>
      <sheetData sheetId="0"/>
      <sheetData sheetId="1"/>
      <sheetData sheetId="2"/>
      <sheetData sheetId="3">
        <row r="6">
          <cell r="A6" t="str">
            <v>1/ 01</v>
          </cell>
        </row>
        <row r="7">
          <cell r="A7" t="str">
            <v>1/ 02</v>
          </cell>
        </row>
        <row r="8">
          <cell r="A8" t="str">
            <v>1/ 03</v>
          </cell>
        </row>
        <row r="9">
          <cell r="A9" t="str">
            <v>1/ 04</v>
          </cell>
        </row>
        <row r="10">
          <cell r="A10" t="str">
            <v>1/ 05</v>
          </cell>
        </row>
        <row r="11">
          <cell r="A11" t="str">
            <v>1/ 06</v>
          </cell>
        </row>
        <row r="12">
          <cell r="A12" t="str">
            <v>1/ 07</v>
          </cell>
        </row>
        <row r="13">
          <cell r="A13" t="str">
            <v>1/ 08</v>
          </cell>
        </row>
        <row r="14">
          <cell r="A14" t="str">
            <v>1/ 09</v>
          </cell>
        </row>
        <row r="15">
          <cell r="A15" t="str">
            <v>1/ 10</v>
          </cell>
        </row>
        <row r="16">
          <cell r="A16" t="str">
            <v>1/ 11</v>
          </cell>
        </row>
        <row r="17">
          <cell r="A17" t="str">
            <v>1/ 12</v>
          </cell>
        </row>
        <row r="18">
          <cell r="A18" t="str">
            <v>1/ 13</v>
          </cell>
        </row>
        <row r="19">
          <cell r="A19" t="str">
            <v>1/ 14</v>
          </cell>
        </row>
        <row r="20">
          <cell r="A20" t="str">
            <v>1/ 15</v>
          </cell>
        </row>
        <row r="21">
          <cell r="A21" t="str">
            <v>1/ 16</v>
          </cell>
        </row>
        <row r="22">
          <cell r="A22" t="str">
            <v>1/ 17</v>
          </cell>
        </row>
        <row r="23">
          <cell r="A23" t="str">
            <v>1/ 18</v>
          </cell>
        </row>
        <row r="24">
          <cell r="A24" t="str">
            <v>1/ 19</v>
          </cell>
        </row>
        <row r="25">
          <cell r="A25" t="str">
            <v>1/ 20</v>
          </cell>
        </row>
        <row r="26">
          <cell r="A26" t="str">
            <v>1/ 21</v>
          </cell>
        </row>
        <row r="27">
          <cell r="A27" t="str">
            <v>1/ 22</v>
          </cell>
        </row>
        <row r="28">
          <cell r="A28" t="str">
            <v>1/ 23</v>
          </cell>
        </row>
        <row r="29">
          <cell r="A29" t="str">
            <v>1/ 24</v>
          </cell>
        </row>
        <row r="30">
          <cell r="A30" t="str">
            <v>1/ 25</v>
          </cell>
        </row>
        <row r="31">
          <cell r="A31" t="str">
            <v>1/ 26</v>
          </cell>
        </row>
        <row r="32">
          <cell r="A32" t="str">
            <v>1/ 27</v>
          </cell>
        </row>
        <row r="33">
          <cell r="A33" t="str">
            <v>1/ 28</v>
          </cell>
        </row>
        <row r="34">
          <cell r="A34" t="str">
            <v>1/ 29</v>
          </cell>
        </row>
        <row r="35">
          <cell r="A35" t="str">
            <v>1/ 30</v>
          </cell>
        </row>
        <row r="36">
          <cell r="A36" t="str">
            <v>1/ 31</v>
          </cell>
        </row>
        <row r="37">
          <cell r="A37" t="str">
            <v>1/ 32</v>
          </cell>
        </row>
        <row r="38">
          <cell r="A38" t="str">
            <v>1/ 33</v>
          </cell>
        </row>
        <row r="39">
          <cell r="A39" t="str">
            <v>1/ 34</v>
          </cell>
        </row>
        <row r="40">
          <cell r="A40" t="str">
            <v>1/ 35</v>
          </cell>
        </row>
        <row r="41">
          <cell r="A41" t="str">
            <v>1/ 36</v>
          </cell>
        </row>
        <row r="42">
          <cell r="A42" t="str">
            <v>1/ 37</v>
          </cell>
        </row>
        <row r="43">
          <cell r="A43" t="str">
            <v>1/ 38</v>
          </cell>
        </row>
        <row r="44">
          <cell r="A44" t="str">
            <v>1/ 39</v>
          </cell>
        </row>
        <row r="45">
          <cell r="A45" t="str">
            <v>1/ 40</v>
          </cell>
        </row>
        <row r="46">
          <cell r="A46" t="str">
            <v>1/ 41</v>
          </cell>
        </row>
        <row r="47">
          <cell r="A47" t="str">
            <v>1/ 42</v>
          </cell>
        </row>
        <row r="48">
          <cell r="A48" t="str">
            <v>1/ 43</v>
          </cell>
        </row>
        <row r="49">
          <cell r="A49" t="str">
            <v>1/ 44</v>
          </cell>
        </row>
        <row r="50">
          <cell r="A50" t="str">
            <v>1/ 45</v>
          </cell>
        </row>
        <row r="51">
          <cell r="A51" t="str">
            <v>1/ 46</v>
          </cell>
        </row>
        <row r="52">
          <cell r="A52" t="str">
            <v>1/ 47</v>
          </cell>
        </row>
        <row r="53">
          <cell r="A53" t="str">
            <v>1/ 48</v>
          </cell>
        </row>
        <row r="54">
          <cell r="A54" t="str">
            <v>1/ 49</v>
          </cell>
        </row>
        <row r="55">
          <cell r="A55" t="str">
            <v>1/ 50</v>
          </cell>
        </row>
        <row r="62">
          <cell r="A62" t="str">
            <v>1/ 51</v>
          </cell>
        </row>
        <row r="63">
          <cell r="A63" t="str">
            <v>1/ 52</v>
          </cell>
        </row>
        <row r="65">
          <cell r="A65" t="str">
            <v>1/ 54</v>
          </cell>
        </row>
        <row r="66">
          <cell r="A66" t="str">
            <v>1/ 55</v>
          </cell>
        </row>
        <row r="67">
          <cell r="A67" t="str">
            <v>1/ 56</v>
          </cell>
        </row>
        <row r="68">
          <cell r="A68" t="str">
            <v>1/ 57</v>
          </cell>
        </row>
        <row r="69">
          <cell r="A69" t="str">
            <v>1/ 58</v>
          </cell>
        </row>
        <row r="70">
          <cell r="A70" t="str">
            <v>1/ 59</v>
          </cell>
        </row>
        <row r="71">
          <cell r="A71" t="str">
            <v>1/ 60</v>
          </cell>
        </row>
        <row r="72">
          <cell r="A72" t="str">
            <v>1/ 61</v>
          </cell>
        </row>
        <row r="73">
          <cell r="A73" t="str">
            <v>1/ 62</v>
          </cell>
        </row>
        <row r="74">
          <cell r="A74" t="str">
            <v>1/ 63</v>
          </cell>
        </row>
        <row r="75">
          <cell r="A75" t="str">
            <v>1/ 64</v>
          </cell>
        </row>
        <row r="77">
          <cell r="A77" t="str">
            <v xml:space="preserve">1/ 65 </v>
          </cell>
        </row>
        <row r="78">
          <cell r="A78" t="str">
            <v>1/ 66</v>
          </cell>
        </row>
        <row r="79">
          <cell r="A79" t="str">
            <v>1/ 67</v>
          </cell>
        </row>
        <row r="80">
          <cell r="A80" t="str">
            <v>1/ 68</v>
          </cell>
        </row>
        <row r="81">
          <cell r="A81" t="str">
            <v xml:space="preserve">2/ 69 </v>
          </cell>
        </row>
        <row r="82">
          <cell r="A82" t="str">
            <v>2/ 70</v>
          </cell>
        </row>
        <row r="83">
          <cell r="A83" t="str">
            <v>2/ 71</v>
          </cell>
        </row>
        <row r="84">
          <cell r="A84" t="str">
            <v>2/ 72</v>
          </cell>
        </row>
        <row r="85">
          <cell r="A85" t="str">
            <v>2/ 73</v>
          </cell>
        </row>
        <row r="86">
          <cell r="A86" t="str">
            <v>2/ 74</v>
          </cell>
        </row>
        <row r="87">
          <cell r="A87" t="str">
            <v>2/ 75</v>
          </cell>
        </row>
        <row r="88">
          <cell r="A88" t="str">
            <v>2/ 76</v>
          </cell>
        </row>
        <row r="89">
          <cell r="A89" t="str">
            <v>2/ 77</v>
          </cell>
        </row>
        <row r="90">
          <cell r="A90" t="str">
            <v>2/ 78</v>
          </cell>
        </row>
        <row r="91">
          <cell r="A91" t="str">
            <v>2/ 79</v>
          </cell>
        </row>
        <row r="92">
          <cell r="A92" t="str">
            <v>2/ 80</v>
          </cell>
        </row>
        <row r="93">
          <cell r="A93" t="str">
            <v>2/ 81</v>
          </cell>
        </row>
        <row r="94">
          <cell r="A94" t="str">
            <v>2/ 82</v>
          </cell>
        </row>
        <row r="95">
          <cell r="A95" t="str">
            <v>2/ 83</v>
          </cell>
        </row>
        <row r="96">
          <cell r="A96" t="str">
            <v>2/ 84</v>
          </cell>
        </row>
        <row r="97">
          <cell r="A97" t="str">
            <v>2/ 85</v>
          </cell>
        </row>
        <row r="98">
          <cell r="A98" t="str">
            <v>2/ 86</v>
          </cell>
        </row>
        <row r="99">
          <cell r="A99" t="str">
            <v>2/ 87</v>
          </cell>
        </row>
        <row r="100">
          <cell r="A100" t="str">
            <v>2/ 88</v>
          </cell>
        </row>
        <row r="101">
          <cell r="A101" t="str">
            <v>2/ 89</v>
          </cell>
        </row>
        <row r="102">
          <cell r="A102" t="str">
            <v>2/ 90</v>
          </cell>
        </row>
        <row r="103">
          <cell r="A103" t="str">
            <v>2/ 91</v>
          </cell>
        </row>
        <row r="104">
          <cell r="A104" t="str">
            <v>2/ 92</v>
          </cell>
        </row>
        <row r="105">
          <cell r="A105" t="str">
            <v>2/ 93</v>
          </cell>
        </row>
        <row r="106">
          <cell r="A106" t="str">
            <v>2/ 94</v>
          </cell>
        </row>
        <row r="107">
          <cell r="A107" t="str">
            <v>2/ 95</v>
          </cell>
        </row>
        <row r="108">
          <cell r="A108" t="str">
            <v>2/ 96</v>
          </cell>
        </row>
        <row r="109">
          <cell r="A109" t="str">
            <v>2/ 97</v>
          </cell>
        </row>
        <row r="110">
          <cell r="A110" t="str">
            <v>2/ 98</v>
          </cell>
        </row>
        <row r="111">
          <cell r="A111" t="str">
            <v>2/ 99</v>
          </cell>
        </row>
        <row r="112">
          <cell r="A112" t="str">
            <v>2/ 100</v>
          </cell>
        </row>
        <row r="121">
          <cell r="A121" t="str">
            <v>2/ 101</v>
          </cell>
        </row>
        <row r="122">
          <cell r="A122" t="str">
            <v>2/ 102</v>
          </cell>
        </row>
        <row r="123">
          <cell r="A123" t="str">
            <v>2/ 103</v>
          </cell>
        </row>
        <row r="124">
          <cell r="A124" t="str">
            <v>2/ 104</v>
          </cell>
        </row>
        <row r="125">
          <cell r="A125" t="str">
            <v>2/ 105</v>
          </cell>
        </row>
        <row r="126">
          <cell r="A126" t="str">
            <v>2/ 106</v>
          </cell>
        </row>
        <row r="127">
          <cell r="A127" t="str">
            <v>2/ 107</v>
          </cell>
        </row>
        <row r="128">
          <cell r="A128" t="str">
            <v>2/ 108</v>
          </cell>
        </row>
        <row r="129">
          <cell r="A129" t="str">
            <v>2/ 109</v>
          </cell>
        </row>
        <row r="130">
          <cell r="A130" t="str">
            <v>2/ 110</v>
          </cell>
        </row>
        <row r="131">
          <cell r="A131" t="str">
            <v>2/ 111</v>
          </cell>
        </row>
        <row r="132">
          <cell r="A132" t="str">
            <v>2/ 112</v>
          </cell>
        </row>
      </sheetData>
      <sheetData sheetId="4">
        <row r="7">
          <cell r="A7" t="str">
            <v>3/ 113</v>
          </cell>
        </row>
        <row r="8">
          <cell r="A8" t="str">
            <v>3/ 114</v>
          </cell>
        </row>
        <row r="9">
          <cell r="A9" t="str">
            <v>3/ 115</v>
          </cell>
        </row>
        <row r="10">
          <cell r="A10" t="str">
            <v>3/ 116</v>
          </cell>
        </row>
        <row r="11">
          <cell r="A11" t="str">
            <v>3/ 117</v>
          </cell>
        </row>
        <row r="12">
          <cell r="A12" t="str">
            <v>3/ 118</v>
          </cell>
        </row>
        <row r="13">
          <cell r="A13" t="str">
            <v>3/ 119</v>
          </cell>
        </row>
        <row r="14">
          <cell r="A14" t="str">
            <v>3/ 120</v>
          </cell>
        </row>
        <row r="15">
          <cell r="A15" t="str">
            <v>3/ 121</v>
          </cell>
        </row>
        <row r="16">
          <cell r="A16" t="str">
            <v>3/ 122</v>
          </cell>
        </row>
        <row r="17">
          <cell r="A17" t="str">
            <v>3/ 123</v>
          </cell>
        </row>
        <row r="18">
          <cell r="A18" t="str">
            <v>3/ 124</v>
          </cell>
        </row>
        <row r="19">
          <cell r="A19" t="str">
            <v>3/ 125</v>
          </cell>
        </row>
        <row r="20">
          <cell r="A20" t="str">
            <v>3/ 126</v>
          </cell>
        </row>
        <row r="21">
          <cell r="A21" t="str">
            <v>3/ 127</v>
          </cell>
        </row>
        <row r="22">
          <cell r="A22" t="str">
            <v>3/ 128</v>
          </cell>
        </row>
        <row r="23">
          <cell r="A23" t="str">
            <v>3/ 129</v>
          </cell>
        </row>
        <row r="24">
          <cell r="A24" t="str">
            <v>3/ 130</v>
          </cell>
        </row>
        <row r="25">
          <cell r="A25" t="str">
            <v>3/ 131</v>
          </cell>
        </row>
        <row r="26">
          <cell r="A26" t="str">
            <v>3/ 132</v>
          </cell>
        </row>
        <row r="27">
          <cell r="A27" t="str">
            <v>3/ 133</v>
          </cell>
        </row>
        <row r="28">
          <cell r="A28" t="str">
            <v>3/ 134</v>
          </cell>
        </row>
        <row r="29">
          <cell r="A29" t="str">
            <v>3/ 135</v>
          </cell>
        </row>
        <row r="30">
          <cell r="A30" t="str">
            <v>3/ 136</v>
          </cell>
        </row>
        <row r="31">
          <cell r="A31" t="str">
            <v>3/ 137</v>
          </cell>
        </row>
      </sheetData>
      <sheetData sheetId="5">
        <row r="7">
          <cell r="A7" t="str">
            <v>4/ 138</v>
          </cell>
        </row>
        <row r="8">
          <cell r="A8" t="str">
            <v>4/ 139</v>
          </cell>
        </row>
        <row r="9">
          <cell r="A9" t="str">
            <v>4/ 140</v>
          </cell>
        </row>
        <row r="10">
          <cell r="A10" t="str">
            <v>4/ 141</v>
          </cell>
        </row>
        <row r="11">
          <cell r="A11" t="str">
            <v>4/ 142-эт.3</v>
          </cell>
        </row>
        <row r="12">
          <cell r="A12" t="str">
            <v>4/ 143</v>
          </cell>
        </row>
        <row r="13">
          <cell r="A13" t="str">
            <v>4/ 144</v>
          </cell>
        </row>
        <row r="14">
          <cell r="A14" t="str">
            <v>4/ 145</v>
          </cell>
        </row>
        <row r="15">
          <cell r="A15" t="str">
            <v>4/ 146</v>
          </cell>
        </row>
        <row r="16">
          <cell r="A16" t="str">
            <v>4/ 147</v>
          </cell>
        </row>
        <row r="17">
          <cell r="A17" t="str">
            <v>4/ 148</v>
          </cell>
        </row>
        <row r="18">
          <cell r="A18" t="str">
            <v>4/ 149</v>
          </cell>
        </row>
        <row r="19">
          <cell r="A19" t="str">
            <v>4/ 150</v>
          </cell>
        </row>
        <row r="20">
          <cell r="A20" t="str">
            <v>4/ 151</v>
          </cell>
        </row>
        <row r="21">
          <cell r="A21" t="str">
            <v>4/ 152</v>
          </cell>
        </row>
        <row r="22">
          <cell r="A22" t="str">
            <v>4/ 153</v>
          </cell>
        </row>
        <row r="23">
          <cell r="A23" t="str">
            <v>4/ 154</v>
          </cell>
        </row>
        <row r="24">
          <cell r="A24" t="str">
            <v>4/ 155</v>
          </cell>
        </row>
        <row r="25">
          <cell r="A25" t="str">
            <v>4/ 156</v>
          </cell>
        </row>
        <row r="26">
          <cell r="A26" t="str">
            <v>4/ 157</v>
          </cell>
        </row>
        <row r="27">
          <cell r="A27" t="str">
            <v>4/ 158</v>
          </cell>
        </row>
        <row r="28">
          <cell r="A28" t="str">
            <v>4/ 159</v>
          </cell>
        </row>
        <row r="29">
          <cell r="A29" t="str">
            <v>4/ 160</v>
          </cell>
        </row>
        <row r="30">
          <cell r="A30" t="str">
            <v>4/ 161</v>
          </cell>
        </row>
        <row r="31">
          <cell r="A31" t="str">
            <v>4/ 162</v>
          </cell>
        </row>
        <row r="32">
          <cell r="A32" t="str">
            <v>5/ 163</v>
          </cell>
        </row>
        <row r="33">
          <cell r="A33" t="str">
            <v>5/ 164</v>
          </cell>
        </row>
        <row r="34">
          <cell r="A34" t="str">
            <v>5/ 165</v>
          </cell>
        </row>
        <row r="35">
          <cell r="A35" t="str">
            <v>5/ 166</v>
          </cell>
        </row>
        <row r="36">
          <cell r="A36" t="str">
            <v>5/ 167</v>
          </cell>
        </row>
        <row r="37">
          <cell r="A37" t="str">
            <v>5/ 168</v>
          </cell>
        </row>
        <row r="38">
          <cell r="A38" t="str">
            <v>5/ 169</v>
          </cell>
        </row>
        <row r="39">
          <cell r="A39" t="str">
            <v>5/ 170</v>
          </cell>
        </row>
        <row r="40">
          <cell r="A40" t="str">
            <v>5/ 171</v>
          </cell>
        </row>
        <row r="41">
          <cell r="A41" t="str">
            <v>5/ 172</v>
          </cell>
        </row>
        <row r="42">
          <cell r="A42" t="str">
            <v>5/ 173</v>
          </cell>
        </row>
        <row r="43">
          <cell r="A43" t="str">
            <v>5/ 174</v>
          </cell>
        </row>
        <row r="44">
          <cell r="A44" t="str">
            <v>5/ 175</v>
          </cell>
        </row>
        <row r="45">
          <cell r="A45" t="str">
            <v>5/ 176</v>
          </cell>
        </row>
        <row r="46">
          <cell r="A46" t="str">
            <v>5/ 177</v>
          </cell>
        </row>
        <row r="47">
          <cell r="A47" t="str">
            <v>5/ 178</v>
          </cell>
        </row>
        <row r="48">
          <cell r="A48" t="str">
            <v>5/ 179</v>
          </cell>
        </row>
        <row r="49">
          <cell r="A49" t="str">
            <v>5/ 180</v>
          </cell>
        </row>
        <row r="50">
          <cell r="A50" t="str">
            <v>5/ 181</v>
          </cell>
        </row>
        <row r="51">
          <cell r="A51" t="str">
            <v>5/ 182</v>
          </cell>
        </row>
        <row r="52">
          <cell r="A52" t="str">
            <v>5/ 183</v>
          </cell>
        </row>
        <row r="53">
          <cell r="A53" t="str">
            <v>5/ 184</v>
          </cell>
        </row>
        <row r="54">
          <cell r="A54" t="str">
            <v>5/ 185</v>
          </cell>
        </row>
        <row r="62">
          <cell r="A62" t="str">
            <v>5/ 187</v>
          </cell>
        </row>
        <row r="63">
          <cell r="A63" t="str">
            <v>5/ 188</v>
          </cell>
        </row>
        <row r="64">
          <cell r="A64" t="str">
            <v>5/ 189</v>
          </cell>
        </row>
        <row r="65">
          <cell r="A65" t="str">
            <v>5/ 190</v>
          </cell>
        </row>
      </sheetData>
      <sheetData sheetId="6">
        <row r="6">
          <cell r="A6" t="str">
            <v>Л/ 01</v>
          </cell>
        </row>
        <row r="7">
          <cell r="A7" t="str">
            <v>2</v>
          </cell>
        </row>
        <row r="8">
          <cell r="A8" t="str">
            <v>3</v>
          </cell>
        </row>
        <row r="9">
          <cell r="A9" t="str">
            <v>4</v>
          </cell>
        </row>
        <row r="10">
          <cell r="A10" t="str">
            <v>5</v>
          </cell>
        </row>
        <row r="11">
          <cell r="A11" t="str">
            <v>П/ 06</v>
          </cell>
        </row>
        <row r="12">
          <cell r="A12" t="str">
            <v>7</v>
          </cell>
        </row>
        <row r="13">
          <cell r="A13" t="str">
            <v>8</v>
          </cell>
        </row>
        <row r="14">
          <cell r="A14" t="str">
            <v>9</v>
          </cell>
        </row>
        <row r="15">
          <cell r="A15" t="str">
            <v>Л/10</v>
          </cell>
        </row>
        <row r="16">
          <cell r="A16" t="str">
            <v>11</v>
          </cell>
        </row>
        <row r="17">
          <cell r="A17" t="str">
            <v>12</v>
          </cell>
        </row>
        <row r="18">
          <cell r="A18" t="str">
            <v>13</v>
          </cell>
        </row>
        <row r="19">
          <cell r="A19" t="str">
            <v>14</v>
          </cell>
        </row>
        <row r="20">
          <cell r="A20" t="str">
            <v>П/ 15</v>
          </cell>
        </row>
        <row r="21">
          <cell r="A21" t="str">
            <v>16</v>
          </cell>
        </row>
        <row r="22">
          <cell r="A22" t="str">
            <v>17</v>
          </cell>
        </row>
        <row r="23">
          <cell r="A23" t="str">
            <v>18</v>
          </cell>
        </row>
        <row r="24">
          <cell r="A24" t="str">
            <v>Л/ 19</v>
          </cell>
        </row>
        <row r="25">
          <cell r="A25" t="str">
            <v>20</v>
          </cell>
        </row>
        <row r="26">
          <cell r="A26" t="str">
            <v>21</v>
          </cell>
        </row>
        <row r="27">
          <cell r="A27" t="str">
            <v>22</v>
          </cell>
        </row>
        <row r="28">
          <cell r="A28" t="str">
            <v>23</v>
          </cell>
        </row>
        <row r="29">
          <cell r="A29" t="str">
            <v>П/ 24</v>
          </cell>
        </row>
        <row r="30">
          <cell r="A30" t="str">
            <v>25</v>
          </cell>
        </row>
        <row r="31">
          <cell r="A31" t="str">
            <v>26</v>
          </cell>
        </row>
        <row r="32">
          <cell r="A32" t="str">
            <v>27</v>
          </cell>
        </row>
        <row r="33">
          <cell r="A33" t="str">
            <v>Л/ 28</v>
          </cell>
        </row>
        <row r="34">
          <cell r="A34" t="str">
            <v>29</v>
          </cell>
        </row>
        <row r="35">
          <cell r="A35" t="str">
            <v>30</v>
          </cell>
        </row>
        <row r="36">
          <cell r="A36" t="str">
            <v>31</v>
          </cell>
        </row>
        <row r="37">
          <cell r="A37" t="str">
            <v>32</v>
          </cell>
        </row>
        <row r="38">
          <cell r="A38" t="str">
            <v>П/ 33</v>
          </cell>
        </row>
        <row r="39">
          <cell r="A39" t="str">
            <v>34</v>
          </cell>
        </row>
        <row r="40">
          <cell r="A40" t="str">
            <v>35</v>
          </cell>
        </row>
        <row r="41">
          <cell r="A41" t="str">
            <v>36</v>
          </cell>
        </row>
        <row r="42">
          <cell r="A42" t="str">
            <v>Л/37</v>
          </cell>
        </row>
        <row r="43">
          <cell r="A43" t="str">
            <v>38</v>
          </cell>
        </row>
        <row r="44">
          <cell r="A44" t="str">
            <v>39</v>
          </cell>
        </row>
        <row r="45">
          <cell r="A45" t="str">
            <v>40</v>
          </cell>
        </row>
        <row r="46">
          <cell r="A46" t="str">
            <v>41</v>
          </cell>
        </row>
        <row r="47">
          <cell r="A47" t="str">
            <v>П/42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 t="str">
            <v>Л/ 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61">
          <cell r="A61" t="str">
            <v>П/ 51</v>
          </cell>
        </row>
        <row r="62">
          <cell r="A62" t="str">
            <v>52</v>
          </cell>
        </row>
        <row r="63">
          <cell r="A63" t="str">
            <v>53</v>
          </cell>
        </row>
        <row r="64">
          <cell r="A64" t="str">
            <v>54</v>
          </cell>
        </row>
        <row r="65">
          <cell r="A65" t="str">
            <v>Л/ 55</v>
          </cell>
        </row>
        <row r="66">
          <cell r="A66" t="str">
            <v>56</v>
          </cell>
        </row>
        <row r="67">
          <cell r="A67" t="str">
            <v>57</v>
          </cell>
        </row>
        <row r="68">
          <cell r="A68" t="str">
            <v>58</v>
          </cell>
        </row>
        <row r="69">
          <cell r="A69" t="str">
            <v>59</v>
          </cell>
        </row>
        <row r="70">
          <cell r="A70" t="str">
            <v>П/60</v>
          </cell>
        </row>
        <row r="71">
          <cell r="A71" t="str">
            <v>61</v>
          </cell>
        </row>
        <row r="72">
          <cell r="A72" t="str">
            <v>62</v>
          </cell>
        </row>
        <row r="73">
          <cell r="A73" t="str">
            <v>63</v>
          </cell>
        </row>
        <row r="74">
          <cell r="A74" t="str">
            <v>Л/ 64</v>
          </cell>
        </row>
        <row r="75">
          <cell r="A75" t="str">
            <v>65</v>
          </cell>
        </row>
        <row r="76">
          <cell r="A76" t="str">
            <v>66</v>
          </cell>
        </row>
        <row r="77">
          <cell r="A77" t="str">
            <v>67</v>
          </cell>
        </row>
        <row r="78">
          <cell r="A78" t="str">
            <v>68</v>
          </cell>
        </row>
        <row r="79">
          <cell r="A79" t="str">
            <v>П/69</v>
          </cell>
        </row>
        <row r="80">
          <cell r="A80" t="str">
            <v>70</v>
          </cell>
        </row>
        <row r="81">
          <cell r="A81" t="str">
            <v>71</v>
          </cell>
        </row>
        <row r="82">
          <cell r="A82" t="str">
            <v>Л/72</v>
          </cell>
        </row>
        <row r="83">
          <cell r="A83" t="str">
            <v>73</v>
          </cell>
        </row>
        <row r="84">
          <cell r="A84" t="str">
            <v>74</v>
          </cell>
        </row>
        <row r="85">
          <cell r="A85" t="str">
            <v>75</v>
          </cell>
        </row>
        <row r="86">
          <cell r="A86" t="str">
            <v>76</v>
          </cell>
        </row>
        <row r="87">
          <cell r="A87" t="str">
            <v>П/ 77</v>
          </cell>
        </row>
        <row r="88">
          <cell r="A88" t="str">
            <v>78</v>
          </cell>
        </row>
        <row r="89">
          <cell r="A89" t="str">
            <v>79</v>
          </cell>
        </row>
        <row r="90">
          <cell r="A90" t="str">
            <v>80</v>
          </cell>
        </row>
        <row r="91">
          <cell r="A91" t="str">
            <v>Л/ 81</v>
          </cell>
        </row>
        <row r="92">
          <cell r="A92" t="str">
            <v>82</v>
          </cell>
        </row>
        <row r="93">
          <cell r="A93" t="str">
            <v>83</v>
          </cell>
        </row>
        <row r="94">
          <cell r="A94" t="str">
            <v>84</v>
          </cell>
        </row>
        <row r="95">
          <cell r="A95" t="str">
            <v>85</v>
          </cell>
        </row>
        <row r="96">
          <cell r="A96" t="str">
            <v>П/ 86</v>
          </cell>
        </row>
        <row r="97">
          <cell r="A97" t="str">
            <v>87</v>
          </cell>
        </row>
        <row r="98">
          <cell r="A98" t="str">
            <v>88</v>
          </cell>
        </row>
        <row r="99">
          <cell r="A99" t="str">
            <v>89</v>
          </cell>
        </row>
        <row r="100">
          <cell r="A100" t="str">
            <v>Л/ 90</v>
          </cell>
        </row>
        <row r="101">
          <cell r="A101" t="str">
            <v>91</v>
          </cell>
        </row>
        <row r="102">
          <cell r="A102" t="str">
            <v>92/92а</v>
          </cell>
        </row>
        <row r="103">
          <cell r="A103" t="str">
            <v>93</v>
          </cell>
        </row>
        <row r="104">
          <cell r="A104" t="str">
            <v>П/94</v>
          </cell>
        </row>
        <row r="105">
          <cell r="A105" t="str">
            <v>95</v>
          </cell>
        </row>
        <row r="106">
          <cell r="A106" t="str">
            <v>96</v>
          </cell>
        </row>
        <row r="107">
          <cell r="A107" t="str">
            <v>97</v>
          </cell>
        </row>
        <row r="108">
          <cell r="A108" t="str">
            <v>Л/ 98</v>
          </cell>
        </row>
        <row r="109">
          <cell r="A109" t="str">
            <v>99</v>
          </cell>
        </row>
        <row r="110">
          <cell r="A110" t="str">
            <v>100</v>
          </cell>
        </row>
        <row r="116">
          <cell r="A116" t="str">
            <v>101</v>
          </cell>
        </row>
        <row r="117">
          <cell r="A117" t="str">
            <v>102</v>
          </cell>
        </row>
        <row r="118">
          <cell r="A118" t="str">
            <v>П/103</v>
          </cell>
        </row>
        <row r="119">
          <cell r="A119" t="str">
            <v>104</v>
          </cell>
        </row>
        <row r="120">
          <cell r="A120" t="str">
            <v>105</v>
          </cell>
        </row>
        <row r="121">
          <cell r="A121" t="str">
            <v>106</v>
          </cell>
        </row>
        <row r="122">
          <cell r="A122" t="str">
            <v>Л/107</v>
          </cell>
        </row>
        <row r="123">
          <cell r="A123" t="str">
            <v>108</v>
          </cell>
        </row>
        <row r="124">
          <cell r="A124" t="str">
            <v xml:space="preserve">109                          </v>
          </cell>
        </row>
        <row r="125">
          <cell r="A125" t="str">
            <v>110</v>
          </cell>
        </row>
        <row r="126">
          <cell r="A126" t="str">
            <v>111</v>
          </cell>
        </row>
        <row r="127">
          <cell r="A127" t="str">
            <v>П/112</v>
          </cell>
        </row>
        <row r="128">
          <cell r="A128" t="str">
            <v>113</v>
          </cell>
        </row>
        <row r="129">
          <cell r="A129" t="str">
            <v>114</v>
          </cell>
        </row>
        <row r="130">
          <cell r="A130" t="str">
            <v>115</v>
          </cell>
        </row>
        <row r="131">
          <cell r="A131" t="str">
            <v>Л/116</v>
          </cell>
        </row>
        <row r="132">
          <cell r="A132" t="str">
            <v>117</v>
          </cell>
        </row>
        <row r="133">
          <cell r="A133" t="str">
            <v>118</v>
          </cell>
        </row>
        <row r="134">
          <cell r="A134" t="str">
            <v>119</v>
          </cell>
        </row>
        <row r="135">
          <cell r="A135" t="str">
            <v>120</v>
          </cell>
        </row>
        <row r="136">
          <cell r="A136" t="str">
            <v>П/121</v>
          </cell>
        </row>
        <row r="137">
          <cell r="A137" t="str">
            <v>122</v>
          </cell>
        </row>
        <row r="138">
          <cell r="A138" t="str">
            <v>123</v>
          </cell>
        </row>
        <row r="139">
          <cell r="A139" t="str">
            <v>124</v>
          </cell>
        </row>
        <row r="140">
          <cell r="A140" t="str">
            <v>Л/125</v>
          </cell>
        </row>
        <row r="141">
          <cell r="A141" t="str">
            <v>126</v>
          </cell>
        </row>
        <row r="142">
          <cell r="A142" t="str">
            <v>127</v>
          </cell>
        </row>
        <row r="143">
          <cell r="A143" t="str">
            <v>128</v>
          </cell>
        </row>
        <row r="144">
          <cell r="A144" t="str">
            <v>129</v>
          </cell>
        </row>
        <row r="145">
          <cell r="A145" t="str">
            <v>П/130</v>
          </cell>
        </row>
        <row r="146">
          <cell r="A146" t="str">
            <v>131</v>
          </cell>
        </row>
        <row r="147">
          <cell r="A147" t="str">
            <v>132</v>
          </cell>
        </row>
        <row r="148">
          <cell r="A148" t="str">
            <v>133</v>
          </cell>
        </row>
        <row r="149">
          <cell r="A149" t="str">
            <v>Л/134</v>
          </cell>
        </row>
        <row r="150">
          <cell r="A150" t="str">
            <v>135</v>
          </cell>
        </row>
        <row r="151">
          <cell r="A151" t="str">
            <v>136</v>
          </cell>
        </row>
        <row r="152">
          <cell r="A152" t="str">
            <v>137</v>
          </cell>
        </row>
        <row r="153">
          <cell r="A153" t="str">
            <v>138</v>
          </cell>
        </row>
        <row r="154">
          <cell r="A154" t="str">
            <v>П/139</v>
          </cell>
        </row>
        <row r="155">
          <cell r="A155" t="str">
            <v>140</v>
          </cell>
        </row>
        <row r="156">
          <cell r="A156" t="str">
            <v>141</v>
          </cell>
        </row>
        <row r="157">
          <cell r="A157" t="str">
            <v>142</v>
          </cell>
        </row>
        <row r="158">
          <cell r="A158" t="str">
            <v>Л/143</v>
          </cell>
        </row>
        <row r="159">
          <cell r="A159" t="str">
            <v>144</v>
          </cell>
        </row>
        <row r="160">
          <cell r="A160" t="str">
            <v>145</v>
          </cell>
        </row>
        <row r="161">
          <cell r="A161" t="str">
            <v>146</v>
          </cell>
        </row>
        <row r="162">
          <cell r="A162" t="str">
            <v>147</v>
          </cell>
        </row>
        <row r="163">
          <cell r="A163" t="str">
            <v>П/148</v>
          </cell>
        </row>
        <row r="164">
          <cell r="A164" t="str">
            <v>149</v>
          </cell>
        </row>
        <row r="165">
          <cell r="A165" t="str">
            <v>150</v>
          </cell>
        </row>
        <row r="166">
          <cell r="A166" t="str">
            <v>151</v>
          </cell>
        </row>
        <row r="173">
          <cell r="A173" t="str">
            <v>Л/152</v>
          </cell>
        </row>
        <row r="174">
          <cell r="A174" t="str">
            <v>153</v>
          </cell>
        </row>
        <row r="175">
          <cell r="A175" t="str">
            <v>154</v>
          </cell>
        </row>
        <row r="176">
          <cell r="A176" t="str">
            <v>155</v>
          </cell>
        </row>
        <row r="177">
          <cell r="A177" t="str">
            <v>156</v>
          </cell>
        </row>
        <row r="178">
          <cell r="A178" t="str">
            <v>П/157</v>
          </cell>
        </row>
        <row r="179">
          <cell r="A179" t="str">
            <v>158</v>
          </cell>
        </row>
        <row r="180">
          <cell r="A180" t="str">
            <v>159</v>
          </cell>
        </row>
        <row r="181">
          <cell r="A181" t="str">
            <v>160</v>
          </cell>
        </row>
        <row r="182">
          <cell r="A182" t="str">
            <v>Л/161</v>
          </cell>
        </row>
        <row r="183">
          <cell r="A183" t="str">
            <v>162</v>
          </cell>
        </row>
        <row r="184">
          <cell r="A184" t="str">
            <v>163</v>
          </cell>
        </row>
        <row r="185">
          <cell r="A185" t="str">
            <v>164</v>
          </cell>
        </row>
        <row r="186">
          <cell r="A186" t="str">
            <v>165</v>
          </cell>
        </row>
        <row r="187">
          <cell r="A187" t="str">
            <v>П/166</v>
          </cell>
        </row>
        <row r="188">
          <cell r="A188" t="str">
            <v>167</v>
          </cell>
        </row>
        <row r="189">
          <cell r="A189" t="str">
            <v>168</v>
          </cell>
        </row>
        <row r="190">
          <cell r="A190" t="str">
            <v>169</v>
          </cell>
        </row>
        <row r="191">
          <cell r="A191" t="str">
            <v>Л/170</v>
          </cell>
        </row>
        <row r="192">
          <cell r="A192" t="str">
            <v>171</v>
          </cell>
        </row>
        <row r="193">
          <cell r="A193" t="str">
            <v>172</v>
          </cell>
        </row>
        <row r="194">
          <cell r="A194" t="str">
            <v>173</v>
          </cell>
        </row>
        <row r="195">
          <cell r="A195" t="str">
            <v>174</v>
          </cell>
        </row>
        <row r="196">
          <cell r="A196" t="str">
            <v>П/175</v>
          </cell>
        </row>
        <row r="197">
          <cell r="A197" t="str">
            <v>176</v>
          </cell>
        </row>
        <row r="198">
          <cell r="A198" t="str">
            <v>177</v>
          </cell>
        </row>
        <row r="199">
          <cell r="A199" t="str">
            <v>177а</v>
          </cell>
        </row>
        <row r="200">
          <cell r="A200" t="str">
            <v>Л/178</v>
          </cell>
        </row>
        <row r="201">
          <cell r="A201" t="str">
            <v>179</v>
          </cell>
        </row>
        <row r="202">
          <cell r="A202" t="str">
            <v>180</v>
          </cell>
        </row>
        <row r="203">
          <cell r="A203" t="str">
            <v>181</v>
          </cell>
        </row>
        <row r="204">
          <cell r="A204" t="str">
            <v>182</v>
          </cell>
        </row>
        <row r="205">
          <cell r="A205" t="str">
            <v>П/183</v>
          </cell>
        </row>
        <row r="206">
          <cell r="A206" t="str">
            <v>184</v>
          </cell>
        </row>
        <row r="207">
          <cell r="A207" t="str">
            <v>185</v>
          </cell>
        </row>
        <row r="208">
          <cell r="A208" t="str">
            <v>186</v>
          </cell>
        </row>
        <row r="209">
          <cell r="A209" t="str">
            <v>Л/187</v>
          </cell>
        </row>
        <row r="210">
          <cell r="A210" t="str">
            <v>188</v>
          </cell>
        </row>
        <row r="211">
          <cell r="A211" t="str">
            <v>189</v>
          </cell>
        </row>
        <row r="212">
          <cell r="A212" t="str">
            <v>190</v>
          </cell>
        </row>
        <row r="213">
          <cell r="A213" t="str">
            <v>191</v>
          </cell>
        </row>
        <row r="214">
          <cell r="A214" t="str">
            <v>П/192</v>
          </cell>
        </row>
        <row r="215">
          <cell r="A215" t="str">
            <v>193</v>
          </cell>
        </row>
        <row r="216">
          <cell r="A216" t="str">
            <v>194</v>
          </cell>
        </row>
        <row r="217">
          <cell r="A217" t="str">
            <v>195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64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A090EA8-0BE7-4EFD-A719-C7A76C169D66}" diskRevisions="1" revisionId="48477" version="76">
  <header guid="{4A090EA8-0BE7-4EFD-A719-C7A76C169D66}" dateTime="2024-09-05T15:55:29" maxSheetId="19" userName="HP" r:id="rId64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помещения'!$F$1:$F$29</formula>
    <oldFormula>'Нежелые помещения'!$F$1:$F$29</oldFormula>
  </rdn>
  <rcv guid="{59BB3A05-2517-4212-B4B0-766CE27362F6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4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comments" Target="../comments7.xml"/><Relationship Id="rId5" Type="http://schemas.openxmlformats.org/officeDocument/2006/relationships/vmlDrawing" Target="../drawings/vmlDrawing7.vml"/><Relationship Id="rId4" Type="http://schemas.openxmlformats.org/officeDocument/2006/relationships/printerSettings" Target="../printerSettings/printerSettings4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comments" Target="../comments8.xml"/><Relationship Id="rId5" Type="http://schemas.openxmlformats.org/officeDocument/2006/relationships/vmlDrawing" Target="../drawings/vmlDrawing8.vml"/><Relationship Id="rId4" Type="http://schemas.openxmlformats.org/officeDocument/2006/relationships/printerSettings" Target="../printerSettings/printerSettings5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view="pageBreakPreview" zoomScale="120" zoomScaleSheetLayoutView="120" workbookViewId="0">
      <selection activeCell="D54" sqref="D5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808" t="s">
        <v>1009</v>
      </c>
      <c r="B1" s="808"/>
      <c r="C1" s="808"/>
      <c r="D1" s="808"/>
      <c r="E1" s="808"/>
      <c r="F1" s="808"/>
      <c r="G1" s="808"/>
    </row>
    <row r="2" spans="1:8" ht="15" x14ac:dyDescent="0.2">
      <c r="A2" s="809" t="s">
        <v>2038</v>
      </c>
      <c r="B2" s="809"/>
      <c r="C2" s="809"/>
      <c r="D2" s="809"/>
      <c r="E2" s="809"/>
      <c r="F2" s="809"/>
      <c r="G2" s="809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799" t="s">
        <v>0</v>
      </c>
      <c r="B4" s="810" t="s">
        <v>1</v>
      </c>
      <c r="C4" s="810" t="s">
        <v>2</v>
      </c>
      <c r="D4" s="810"/>
      <c r="E4" s="786" t="s">
        <v>3</v>
      </c>
      <c r="F4" s="786" t="s">
        <v>4</v>
      </c>
      <c r="G4" s="810" t="s">
        <v>5</v>
      </c>
    </row>
    <row r="5" spans="1:8" ht="13.5" thickBot="1" x14ac:dyDescent="0.25">
      <c r="A5" s="787"/>
      <c r="B5" s="810"/>
      <c r="C5" s="810"/>
      <c r="D5" s="810"/>
      <c r="E5" s="787"/>
      <c r="F5" s="787"/>
      <c r="G5" s="810"/>
    </row>
    <row r="6" spans="1:8" ht="13.5" thickBot="1" x14ac:dyDescent="0.25">
      <c r="A6" s="788"/>
      <c r="B6" s="810"/>
      <c r="C6" s="5" t="s">
        <v>6</v>
      </c>
      <c r="D6" s="6" t="s">
        <v>7</v>
      </c>
      <c r="E6" s="788"/>
      <c r="F6" s="788"/>
      <c r="G6" s="810"/>
    </row>
    <row r="7" spans="1:8" ht="18" customHeight="1" thickBot="1" x14ac:dyDescent="0.25">
      <c r="A7" s="796" t="s">
        <v>1544</v>
      </c>
      <c r="B7" s="797"/>
      <c r="C7" s="797"/>
      <c r="D7" s="798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7890</v>
      </c>
      <c r="D8" s="21">
        <v>7965</v>
      </c>
      <c r="E8" s="154">
        <f>D8-C8</f>
        <v>75</v>
      </c>
      <c r="F8" s="21">
        <v>15</v>
      </c>
      <c r="G8" s="22">
        <f>E8*F8</f>
        <v>1125</v>
      </c>
      <c r="H8" s="8"/>
    </row>
    <row r="9" spans="1:8" ht="64.5" thickBot="1" x14ac:dyDescent="0.25">
      <c r="A9" s="9" t="s">
        <v>9</v>
      </c>
      <c r="B9" s="21">
        <v>29993299</v>
      </c>
      <c r="C9" s="22">
        <v>3443</v>
      </c>
      <c r="D9" s="22">
        <v>3470</v>
      </c>
      <c r="E9" s="154">
        <f>D9-C9</f>
        <v>27</v>
      </c>
      <c r="F9" s="22">
        <v>60</v>
      </c>
      <c r="G9" s="22">
        <f>E9*F9</f>
        <v>1620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17037</v>
      </c>
      <c r="D10" s="21">
        <v>17267</v>
      </c>
      <c r="E10" s="154">
        <f>D10-C10</f>
        <v>230</v>
      </c>
      <c r="F10" s="21">
        <v>40</v>
      </c>
      <c r="G10" s="22">
        <f>E10*F10</f>
        <v>9200</v>
      </c>
    </row>
    <row r="11" spans="1:8" ht="15" customHeight="1" thickBot="1" x14ac:dyDescent="0.25">
      <c r="A11" s="11" t="s">
        <v>11</v>
      </c>
      <c r="B11" s="25">
        <v>29993506</v>
      </c>
      <c r="C11" s="21">
        <v>22824</v>
      </c>
      <c r="D11" s="21">
        <v>23092</v>
      </c>
      <c r="E11" s="154">
        <f>D11-C11</f>
        <v>268</v>
      </c>
      <c r="F11" s="21">
        <v>60</v>
      </c>
      <c r="G11" s="22">
        <f>E11*F11</f>
        <v>16080</v>
      </c>
    </row>
    <row r="12" spans="1:8" ht="18" customHeight="1" thickBot="1" x14ac:dyDescent="0.25">
      <c r="A12" s="512" t="s">
        <v>1545</v>
      </c>
      <c r="B12" s="513"/>
      <c r="C12" s="179"/>
      <c r="D12" s="179"/>
      <c r="E12" s="154"/>
      <c r="F12" s="186"/>
      <c r="G12" s="12">
        <f>SUM(G8:G11)</f>
        <v>28025</v>
      </c>
    </row>
    <row r="13" spans="1:8" ht="42.75" customHeight="1" thickBot="1" x14ac:dyDescent="0.25">
      <c r="A13" s="7" t="s">
        <v>8</v>
      </c>
      <c r="B13" s="21">
        <v>29993434</v>
      </c>
      <c r="C13" s="20">
        <v>7772</v>
      </c>
      <c r="D13" s="20">
        <v>7824</v>
      </c>
      <c r="E13" s="154">
        <f t="shared" ref="E13:E16" si="0">D13-C13</f>
        <v>52</v>
      </c>
      <c r="F13" s="21">
        <v>10</v>
      </c>
      <c r="G13" s="22">
        <f t="shared" ref="G13:G16" si="1">E13*F13</f>
        <v>520</v>
      </c>
      <c r="H13" s="10"/>
    </row>
    <row r="14" spans="1:8" ht="53.25" customHeight="1" thickBot="1" x14ac:dyDescent="0.25">
      <c r="A14" s="9" t="s">
        <v>12</v>
      </c>
      <c r="B14" s="21">
        <v>29993175</v>
      </c>
      <c r="C14" s="21">
        <v>5777</v>
      </c>
      <c r="D14" s="21">
        <v>5799</v>
      </c>
      <c r="E14" s="154">
        <f t="shared" si="0"/>
        <v>22</v>
      </c>
      <c r="F14" s="21">
        <v>15</v>
      </c>
      <c r="G14" s="22">
        <f t="shared" si="1"/>
        <v>330</v>
      </c>
      <c r="H14" s="10"/>
    </row>
    <row r="15" spans="1:8" ht="15" customHeight="1" thickBot="1" x14ac:dyDescent="0.25">
      <c r="A15" s="9" t="s">
        <v>10</v>
      </c>
      <c r="B15" s="21">
        <v>29993086</v>
      </c>
      <c r="C15" s="21">
        <v>5209</v>
      </c>
      <c r="D15" s="21">
        <v>5274</v>
      </c>
      <c r="E15" s="154">
        <f t="shared" si="0"/>
        <v>65</v>
      </c>
      <c r="F15" s="21">
        <v>40</v>
      </c>
      <c r="G15" s="22">
        <f t="shared" si="1"/>
        <v>2600</v>
      </c>
      <c r="H15" s="10"/>
    </row>
    <row r="16" spans="1:8" ht="15" customHeight="1" thickBot="1" x14ac:dyDescent="0.25">
      <c r="A16" s="11" t="s">
        <v>11</v>
      </c>
      <c r="B16" s="25">
        <v>29993400</v>
      </c>
      <c r="C16" s="21">
        <v>9253</v>
      </c>
      <c r="D16" s="21">
        <v>9403</v>
      </c>
      <c r="E16" s="154">
        <f t="shared" si="0"/>
        <v>150</v>
      </c>
      <c r="F16" s="21">
        <v>30</v>
      </c>
      <c r="G16" s="22">
        <f t="shared" si="1"/>
        <v>4500</v>
      </c>
      <c r="H16" s="10"/>
    </row>
    <row r="17" spans="1:8" ht="18" customHeight="1" thickBot="1" x14ac:dyDescent="0.25">
      <c r="A17" s="803" t="s">
        <v>1546</v>
      </c>
      <c r="B17" s="804"/>
      <c r="C17" s="804"/>
      <c r="D17" s="807"/>
      <c r="E17" s="154"/>
      <c r="G17" s="16">
        <f>SUM(G13:G16)</f>
        <v>7950</v>
      </c>
    </row>
    <row r="18" spans="1:8" ht="39" customHeight="1" thickBot="1" x14ac:dyDescent="0.25">
      <c r="A18" s="7" t="s">
        <v>8</v>
      </c>
      <c r="B18" s="21">
        <v>29993452</v>
      </c>
      <c r="C18" s="21">
        <v>13392</v>
      </c>
      <c r="D18" s="21">
        <v>13488</v>
      </c>
      <c r="E18" s="154">
        <f t="shared" ref="E18:E21" si="2">D18-C18</f>
        <v>96</v>
      </c>
      <c r="F18" s="21">
        <v>10</v>
      </c>
      <c r="G18" s="22">
        <f t="shared" ref="G18:G21" si="3">E18*F18</f>
        <v>960</v>
      </c>
      <c r="H18" s="10"/>
    </row>
    <row r="19" spans="1:8" ht="54" customHeight="1" thickBot="1" x14ac:dyDescent="0.25">
      <c r="A19" s="9" t="s">
        <v>13</v>
      </c>
      <c r="B19" s="21">
        <v>29993531</v>
      </c>
      <c r="C19" s="21">
        <v>3760</v>
      </c>
      <c r="D19" s="21">
        <v>3787</v>
      </c>
      <c r="E19" s="154">
        <f t="shared" si="2"/>
        <v>27</v>
      </c>
      <c r="F19" s="22">
        <v>15</v>
      </c>
      <c r="G19" s="22">
        <f t="shared" si="3"/>
        <v>405</v>
      </c>
      <c r="H19" s="10"/>
    </row>
    <row r="20" spans="1:8" ht="17.25" customHeight="1" thickBot="1" x14ac:dyDescent="0.25">
      <c r="A20" s="9" t="s">
        <v>14</v>
      </c>
      <c r="B20" s="21">
        <v>29993455</v>
      </c>
      <c r="C20" s="20">
        <v>12425</v>
      </c>
      <c r="D20" s="20">
        <v>12555</v>
      </c>
      <c r="E20" s="154">
        <f t="shared" si="2"/>
        <v>130</v>
      </c>
      <c r="F20" s="21">
        <v>40</v>
      </c>
      <c r="G20" s="22">
        <f t="shared" si="3"/>
        <v>5200</v>
      </c>
      <c r="H20" s="10"/>
    </row>
    <row r="21" spans="1:8" ht="16.5" customHeight="1" thickBot="1" x14ac:dyDescent="0.25">
      <c r="A21" s="9" t="s">
        <v>15</v>
      </c>
      <c r="B21" s="25">
        <v>29993405</v>
      </c>
      <c r="C21" s="22">
        <v>15135</v>
      </c>
      <c r="D21" s="22">
        <v>15314</v>
      </c>
      <c r="E21" s="154">
        <f t="shared" si="2"/>
        <v>179</v>
      </c>
      <c r="F21" s="21">
        <v>30</v>
      </c>
      <c r="G21" s="22">
        <f t="shared" si="3"/>
        <v>5370</v>
      </c>
      <c r="H21" s="10"/>
    </row>
    <row r="22" spans="1:8" ht="13.5" thickBot="1" x14ac:dyDescent="0.25">
      <c r="A22" s="802"/>
      <c r="B22" s="802"/>
      <c r="C22" s="802"/>
      <c r="D22" s="802"/>
      <c r="E22" s="802"/>
      <c r="F22" s="5" t="s">
        <v>16</v>
      </c>
      <c r="G22" s="16">
        <f>SUM(G18:G21)</f>
        <v>11935</v>
      </c>
    </row>
    <row r="23" spans="1:8" ht="13.5" thickBot="1" x14ac:dyDescent="0.25">
      <c r="C23" s="17"/>
      <c r="D23" s="17"/>
      <c r="F23" s="5" t="s">
        <v>17</v>
      </c>
      <c r="G23" s="345">
        <f>G22+G17+G12</f>
        <v>47910</v>
      </c>
      <c r="H23" s="10"/>
    </row>
    <row r="24" spans="1:8" x14ac:dyDescent="0.2">
      <c r="C24" s="17"/>
      <c r="D24" s="17"/>
      <c r="G24" s="134"/>
      <c r="H24" s="10"/>
    </row>
    <row r="25" spans="1:8" ht="13.5" thickBot="1" x14ac:dyDescent="0.25">
      <c r="A25" s="1"/>
      <c r="B25" s="2"/>
      <c r="G25" s="2"/>
    </row>
    <row r="26" spans="1:8" ht="12.75" customHeight="1" x14ac:dyDescent="0.2">
      <c r="A26" s="799" t="s">
        <v>0</v>
      </c>
      <c r="B26" s="786" t="s">
        <v>1</v>
      </c>
      <c r="C26" s="789" t="s">
        <v>2</v>
      </c>
      <c r="D26" s="790"/>
      <c r="E26" s="786" t="s">
        <v>3</v>
      </c>
      <c r="F26" s="786" t="s">
        <v>4</v>
      </c>
      <c r="G26" s="786" t="s">
        <v>5</v>
      </c>
    </row>
    <row r="27" spans="1:8" ht="13.5" thickBot="1" x14ac:dyDescent="0.25">
      <c r="A27" s="800"/>
      <c r="B27" s="787"/>
      <c r="C27" s="791"/>
      <c r="D27" s="792"/>
      <c r="E27" s="787"/>
      <c r="F27" s="787"/>
      <c r="G27" s="787"/>
    </row>
    <row r="28" spans="1:8" ht="13.5" thickBot="1" x14ac:dyDescent="0.25">
      <c r="A28" s="801"/>
      <c r="B28" s="788"/>
      <c r="C28" s="5" t="s">
        <v>6</v>
      </c>
      <c r="D28" s="6" t="s">
        <v>7</v>
      </c>
      <c r="E28" s="788"/>
      <c r="F28" s="788"/>
      <c r="G28" s="788"/>
    </row>
    <row r="29" spans="1:8" ht="25.5" customHeight="1" thickBot="1" x14ac:dyDescent="0.25">
      <c r="A29" s="805"/>
      <c r="B29" s="806"/>
      <c r="C29" s="806"/>
      <c r="D29" s="806"/>
      <c r="E29" s="142"/>
      <c r="G29" s="19"/>
    </row>
    <row r="30" spans="1:8" ht="15" customHeight="1" thickBot="1" x14ac:dyDescent="0.25">
      <c r="A30" s="14" t="s">
        <v>18</v>
      </c>
      <c r="B30" s="14" t="s">
        <v>1445</v>
      </c>
      <c r="C30" s="20">
        <v>4895</v>
      </c>
      <c r="D30" s="20">
        <v>5002</v>
      </c>
      <c r="E30" s="21">
        <f>D30-C30</f>
        <v>107</v>
      </c>
      <c r="F30" s="14">
        <v>30</v>
      </c>
      <c r="G30" s="149">
        <f>E30*F30</f>
        <v>3210</v>
      </c>
      <c r="H30" s="10"/>
    </row>
    <row r="31" spans="1:8" ht="15" customHeight="1" thickBot="1" x14ac:dyDescent="0.25">
      <c r="A31" s="23" t="s">
        <v>19</v>
      </c>
      <c r="B31" s="21">
        <v>29993194</v>
      </c>
      <c r="C31" s="21">
        <v>4635</v>
      </c>
      <c r="D31" s="21">
        <v>4635</v>
      </c>
      <c r="E31" s="21">
        <f>D31-C31</f>
        <v>0</v>
      </c>
      <c r="F31" s="21">
        <v>30</v>
      </c>
      <c r="G31" s="22">
        <f>E31*F31</f>
        <v>0</v>
      </c>
      <c r="H31" s="10"/>
    </row>
    <row r="32" spans="1:8" ht="15" customHeight="1" thickBot="1" x14ac:dyDescent="0.25">
      <c r="A32" s="24"/>
      <c r="B32" s="21"/>
      <c r="C32" s="25"/>
      <c r="D32" s="25"/>
      <c r="E32" s="21"/>
      <c r="F32" s="25"/>
      <c r="G32" s="22"/>
    </row>
    <row r="33" spans="1:8" ht="15" customHeight="1" thickBot="1" x14ac:dyDescent="0.25">
      <c r="A33" s="14" t="s">
        <v>20</v>
      </c>
      <c r="B33" s="26" t="s">
        <v>1446</v>
      </c>
      <c r="C33" s="25">
        <v>22804</v>
      </c>
      <c r="D33" s="25">
        <v>22863</v>
      </c>
      <c r="E33" s="21">
        <f>D33-C33</f>
        <v>59</v>
      </c>
      <c r="F33" s="21">
        <v>30</v>
      </c>
      <c r="G33" s="22">
        <f>E33*F33</f>
        <v>1770</v>
      </c>
      <c r="H33" s="10"/>
    </row>
    <row r="34" spans="1:8" ht="15" customHeight="1" thickBot="1" x14ac:dyDescent="0.25">
      <c r="A34" s="23" t="s">
        <v>21</v>
      </c>
      <c r="B34" s="14" t="s">
        <v>1447</v>
      </c>
      <c r="C34" s="158">
        <v>17704</v>
      </c>
      <c r="D34" s="158">
        <v>17820</v>
      </c>
      <c r="E34" s="21">
        <f>D34-C34</f>
        <v>116</v>
      </c>
      <c r="F34" s="21">
        <v>30</v>
      </c>
      <c r="G34" s="22">
        <f>E34*F34</f>
        <v>3480</v>
      </c>
      <c r="H34" s="10"/>
    </row>
    <row r="35" spans="1:8" ht="16.5" customHeight="1" thickBot="1" x14ac:dyDescent="0.25">
      <c r="A35" s="803" t="s">
        <v>22</v>
      </c>
      <c r="B35" s="804"/>
      <c r="C35" s="185"/>
      <c r="D35" s="185"/>
      <c r="E35" s="148"/>
      <c r="F35" s="5" t="s">
        <v>16</v>
      </c>
      <c r="G35" s="541">
        <f>SUM(G30:G34)</f>
        <v>8460</v>
      </c>
      <c r="H35" s="10"/>
    </row>
    <row r="36" spans="1:8" ht="31.5" customHeight="1" thickBot="1" x14ac:dyDescent="0.25">
      <c r="A36" s="27" t="s">
        <v>8</v>
      </c>
      <c r="B36" s="21">
        <v>29993213</v>
      </c>
      <c r="C36" s="22">
        <v>16961</v>
      </c>
      <c r="D36" s="22">
        <v>17060</v>
      </c>
      <c r="E36" s="22">
        <f t="shared" ref="E36:E39" si="4">D36-C36</f>
        <v>99</v>
      </c>
      <c r="F36" s="21">
        <v>15</v>
      </c>
      <c r="G36" s="22">
        <f t="shared" ref="G36:G39" si="5">E36*F36</f>
        <v>1485</v>
      </c>
      <c r="H36" s="10"/>
    </row>
    <row r="37" spans="1:8" ht="49.5" customHeight="1" thickBot="1" x14ac:dyDescent="0.25">
      <c r="A37" s="14" t="s">
        <v>13</v>
      </c>
      <c r="B37" s="21">
        <v>29993517</v>
      </c>
      <c r="C37" s="21">
        <v>2959</v>
      </c>
      <c r="D37" s="21">
        <v>2991</v>
      </c>
      <c r="E37" s="22">
        <f t="shared" si="4"/>
        <v>32</v>
      </c>
      <c r="F37" s="21">
        <v>60</v>
      </c>
      <c r="G37" s="22">
        <f t="shared" si="5"/>
        <v>1920</v>
      </c>
      <c r="H37" s="10"/>
    </row>
    <row r="38" spans="1:8" ht="15" customHeight="1" thickBot="1" x14ac:dyDescent="0.25">
      <c r="A38" s="14" t="s">
        <v>14</v>
      </c>
      <c r="B38" s="21">
        <v>29116365</v>
      </c>
      <c r="C38" s="20">
        <v>32624</v>
      </c>
      <c r="D38" s="20">
        <v>32918</v>
      </c>
      <c r="E38" s="22">
        <f t="shared" si="4"/>
        <v>294</v>
      </c>
      <c r="F38" s="21">
        <v>60</v>
      </c>
      <c r="G38" s="22">
        <f t="shared" si="5"/>
        <v>17640</v>
      </c>
      <c r="H38" s="10"/>
    </row>
    <row r="39" spans="1:8" ht="15" customHeight="1" thickBot="1" x14ac:dyDescent="0.25">
      <c r="A39" s="14" t="s">
        <v>15</v>
      </c>
      <c r="B39" s="25">
        <v>29993350</v>
      </c>
      <c r="C39" s="22">
        <v>27609</v>
      </c>
      <c r="D39" s="22">
        <v>27922</v>
      </c>
      <c r="E39" s="22">
        <f t="shared" si="4"/>
        <v>313</v>
      </c>
      <c r="F39" s="21">
        <v>80</v>
      </c>
      <c r="G39" s="22">
        <f t="shared" si="5"/>
        <v>25040</v>
      </c>
      <c r="H39" s="10"/>
    </row>
    <row r="40" spans="1:8" ht="13.5" thickBot="1" x14ac:dyDescent="0.25">
      <c r="A40" s="15"/>
      <c r="B40" s="15"/>
      <c r="C40" s="108"/>
      <c r="D40" s="15"/>
      <c r="E40" s="29"/>
      <c r="F40" s="5" t="s">
        <v>16</v>
      </c>
      <c r="G40" s="193">
        <f>SUM(G36:G39)</f>
        <v>46085</v>
      </c>
    </row>
    <row r="41" spans="1:8" ht="13.5" thickBot="1" x14ac:dyDescent="0.25"/>
    <row r="42" spans="1:8" x14ac:dyDescent="0.2">
      <c r="A42" s="799" t="s">
        <v>0</v>
      </c>
      <c r="B42" s="786" t="s">
        <v>1</v>
      </c>
      <c r="C42" s="789" t="s">
        <v>2</v>
      </c>
      <c r="D42" s="790"/>
      <c r="E42" s="786" t="s">
        <v>3</v>
      </c>
      <c r="F42" s="786" t="s">
        <v>4</v>
      </c>
      <c r="G42" s="786" t="s">
        <v>5</v>
      </c>
    </row>
    <row r="43" spans="1:8" ht="13.5" thickBot="1" x14ac:dyDescent="0.25">
      <c r="A43" s="800"/>
      <c r="B43" s="787"/>
      <c r="C43" s="791"/>
      <c r="D43" s="792"/>
      <c r="E43" s="787"/>
      <c r="F43" s="787"/>
      <c r="G43" s="787"/>
    </row>
    <row r="44" spans="1:8" ht="13.5" thickBot="1" x14ac:dyDescent="0.25">
      <c r="A44" s="801"/>
      <c r="B44" s="788"/>
      <c r="C44" s="5" t="s">
        <v>6</v>
      </c>
      <c r="D44" s="6" t="s">
        <v>7</v>
      </c>
      <c r="E44" s="788"/>
      <c r="F44" s="788"/>
      <c r="G44" s="788"/>
    </row>
    <row r="45" spans="1:8" ht="15" customHeight="1" thickBot="1" x14ac:dyDescent="0.25">
      <c r="A45" s="793" t="s">
        <v>1547</v>
      </c>
      <c r="B45" s="14" t="s">
        <v>1448</v>
      </c>
      <c r="C45" s="20">
        <v>14629</v>
      </c>
      <c r="D45" s="20">
        <v>14768</v>
      </c>
      <c r="E45" s="21">
        <f t="shared" ref="E45:E47" si="6">D45-C45</f>
        <v>139</v>
      </c>
      <c r="F45" s="20">
        <v>40</v>
      </c>
      <c r="G45" s="22">
        <f t="shared" ref="G45:G47" si="7">E45*F45</f>
        <v>5560</v>
      </c>
      <c r="H45" s="10"/>
    </row>
    <row r="46" spans="1:8" ht="15" customHeight="1" thickBot="1" x14ac:dyDescent="0.25">
      <c r="A46" s="794"/>
      <c r="B46" s="14" t="s">
        <v>1449</v>
      </c>
      <c r="C46" s="20">
        <v>8889</v>
      </c>
      <c r="D46" s="20">
        <v>8967</v>
      </c>
      <c r="E46" s="21">
        <f t="shared" si="6"/>
        <v>78</v>
      </c>
      <c r="F46" s="20">
        <v>20</v>
      </c>
      <c r="G46" s="22">
        <f t="shared" si="7"/>
        <v>1560</v>
      </c>
      <c r="H46" s="10"/>
    </row>
    <row r="47" spans="1:8" ht="15" customHeight="1" thickBot="1" x14ac:dyDescent="0.25">
      <c r="A47" s="795"/>
      <c r="B47" s="14" t="s">
        <v>1450</v>
      </c>
      <c r="C47" s="20">
        <v>1641</v>
      </c>
      <c r="D47" s="20">
        <v>1656</v>
      </c>
      <c r="E47" s="21">
        <f t="shared" si="6"/>
        <v>15</v>
      </c>
      <c r="F47" s="20">
        <v>80</v>
      </c>
      <c r="G47" s="22">
        <f t="shared" si="7"/>
        <v>1200</v>
      </c>
      <c r="H47" s="10"/>
    </row>
    <row r="48" spans="1:8" ht="15" customHeight="1" thickBot="1" x14ac:dyDescent="0.25">
      <c r="A48" s="784" t="s">
        <v>1540</v>
      </c>
      <c r="B48" s="497">
        <v>32358499</v>
      </c>
      <c r="C48" s="20">
        <v>0</v>
      </c>
      <c r="D48" s="20">
        <v>0</v>
      </c>
      <c r="E48" s="21">
        <f t="shared" ref="E48:E49" si="8">D48-C48</f>
        <v>0</v>
      </c>
      <c r="F48" s="20">
        <v>1</v>
      </c>
      <c r="G48" s="22">
        <f t="shared" ref="G48:G49" si="9">E48*F48</f>
        <v>0</v>
      </c>
    </row>
    <row r="49" spans="1:7" ht="15" customHeight="1" thickBot="1" x14ac:dyDescent="0.25">
      <c r="A49" s="785"/>
      <c r="B49" s="506">
        <v>32358505</v>
      </c>
      <c r="C49" s="20">
        <v>0</v>
      </c>
      <c r="D49" s="20">
        <v>0</v>
      </c>
      <c r="E49" s="21">
        <f t="shared" si="8"/>
        <v>0</v>
      </c>
      <c r="F49" s="20">
        <v>1</v>
      </c>
      <c r="G49" s="22">
        <f t="shared" si="9"/>
        <v>0</v>
      </c>
    </row>
    <row r="50" spans="1:7" ht="15" customHeight="1" thickBot="1" x14ac:dyDescent="0.25">
      <c r="A50" s="31"/>
      <c r="B50" s="32"/>
      <c r="C50" s="32"/>
      <c r="D50" s="32"/>
      <c r="E50" s="32"/>
      <c r="F50" s="507" t="s">
        <v>16</v>
      </c>
      <c r="G50" s="542">
        <f>SUM(G45:G49)</f>
        <v>8320</v>
      </c>
    </row>
    <row r="51" spans="1:7" ht="15" customHeight="1" x14ac:dyDescent="0.2">
      <c r="A51" s="31"/>
      <c r="B51" s="32"/>
      <c r="C51" s="32"/>
      <c r="D51" s="32"/>
      <c r="E51" s="32"/>
      <c r="F51" s="505"/>
      <c r="G51" s="138"/>
    </row>
    <row r="52" spans="1:7" ht="15" customHeight="1" x14ac:dyDescent="0.2">
      <c r="A52" s="361" t="s">
        <v>951</v>
      </c>
      <c r="B52" s="362">
        <f>G23+G35+G40+G50</f>
        <v>110775</v>
      </c>
      <c r="C52" s="32"/>
      <c r="D52" s="32"/>
      <c r="E52" s="32"/>
      <c r="F52" s="489"/>
      <c r="G52" s="138"/>
    </row>
    <row r="53" spans="1:7" ht="21.75" customHeight="1" x14ac:dyDescent="0.2">
      <c r="A53" s="252" t="s">
        <v>1339</v>
      </c>
      <c r="B53" s="363">
        <f>SUM(G10:G11)+SUM(G15:G16)+SUM(G20:G21)+SUM(G38:G39)</f>
        <v>85630</v>
      </c>
      <c r="D53" s="352"/>
      <c r="E53" s="352"/>
      <c r="F53" s="489"/>
    </row>
    <row r="54" spans="1:7" ht="21.75" customHeight="1" x14ac:dyDescent="0.2">
      <c r="A54" s="252" t="s">
        <v>1412</v>
      </c>
      <c r="B54" s="363">
        <f>G50</f>
        <v>8320</v>
      </c>
      <c r="D54" s="17"/>
      <c r="G54" s="18"/>
    </row>
    <row r="55" spans="1:7" ht="21.75" customHeight="1" x14ac:dyDescent="0.2">
      <c r="A55" s="252" t="s">
        <v>1495</v>
      </c>
      <c r="B55" s="363">
        <f>G8+G9+G13+G14+G18+G19+G35+G36+G37</f>
        <v>16825</v>
      </c>
      <c r="D55" s="17"/>
      <c r="G55" s="18"/>
    </row>
    <row r="57" spans="1:7" x14ac:dyDescent="0.2">
      <c r="B57" t="s">
        <v>1358</v>
      </c>
    </row>
    <row r="59" spans="1:7" x14ac:dyDescent="0.2">
      <c r="B59" t="s">
        <v>1340</v>
      </c>
    </row>
  </sheetData>
  <customSheetViews>
    <customSheetView guid="{59BB3A05-2517-4212-B4B0-766CE27362F6}" scale="120" showPageBreaks="1" fitToPage="1" printArea="1" view="pageBreakPreview">
      <selection activeCell="D54" sqref="D54"/>
      <pageMargins left="0.43307086614173229" right="0.43307086614173229" top="0.74803149606299213" bottom="0.74803149606299213" header="0.31496062992125984" footer="0.31496062992125984"/>
      <pageSetup paperSize="9" fitToHeight="0" orientation="portrait" r:id="rId1"/>
      <headerFooter alignWithMargins="0"/>
    </customSheetView>
    <customSheetView guid="{11E80AD0-6AA7-470D-8311-11AF96F196E5}" scale="120" showPageBreaks="1" fitToPage="1" printArea="1" view="pageBreakPreview" topLeftCell="A46">
      <selection activeCell="B53" sqref="B53"/>
      <pageMargins left="0.43307086614173229" right="0.43307086614173229" top="0.74803149606299213" bottom="0.74803149606299213" header="0.31496062992125984" footer="0.31496062992125984"/>
      <pageSetup paperSize="9" fitToHeight="0" orientation="portrait" r:id="rId2"/>
      <headerFooter alignWithMargins="0"/>
    </customSheetView>
    <customSheetView guid="{1298D0A2-0CF6-434E-A6CD-B210E2963ADD}" scale="120" showPageBreaks="1" fitToPage="1" printArea="1" view="pageBreakPreview" topLeftCell="A61">
      <selection activeCell="B64" sqref="B64:B67"/>
      <pageMargins left="0.43307086614173229" right="0.43307086614173229" top="0.74803149606299213" bottom="0.74803149606299213" header="0.31496062992125984" footer="0.31496062992125984"/>
      <pageSetup paperSize="9" fitToHeight="0" orientation="portrait" r:id="rId3"/>
      <headerFooter alignWithMargins="0"/>
    </customSheetView>
  </customSheetViews>
  <mergeCells count="27">
    <mergeCell ref="A1:G1"/>
    <mergeCell ref="A2:G2"/>
    <mergeCell ref="F4:F6"/>
    <mergeCell ref="A4:A6"/>
    <mergeCell ref="G4:G6"/>
    <mergeCell ref="E4:E6"/>
    <mergeCell ref="B4:B6"/>
    <mergeCell ref="C4:D5"/>
    <mergeCell ref="A7:D7"/>
    <mergeCell ref="A42:A44"/>
    <mergeCell ref="C26:D27"/>
    <mergeCell ref="B26:B28"/>
    <mergeCell ref="A22:E22"/>
    <mergeCell ref="E26:E28"/>
    <mergeCell ref="B42:B44"/>
    <mergeCell ref="A26:A28"/>
    <mergeCell ref="A35:B35"/>
    <mergeCell ref="E42:E44"/>
    <mergeCell ref="A29:D29"/>
    <mergeCell ref="A17:D17"/>
    <mergeCell ref="A48:A49"/>
    <mergeCell ref="F26:F28"/>
    <mergeCell ref="G26:G28"/>
    <mergeCell ref="C42:D43"/>
    <mergeCell ref="F42:F44"/>
    <mergeCell ref="G42:G44"/>
    <mergeCell ref="A45:A47"/>
  </mergeCells>
  <phoneticPr fontId="11" type="noConversion"/>
  <pageMargins left="0.43307086614173229" right="0.43307086614173229" top="0.74803149606299213" bottom="0.74803149606299213" header="0.31496062992125984" footer="0.31496062992125984"/>
  <pageSetup paperSize="9" fitToHeight="0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9"/>
  <sheetViews>
    <sheetView workbookViewId="0">
      <selection activeCell="H15" sqref="H15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9" width="12.42578125" customWidth="1"/>
    <col min="10" max="11" width="10.140625" bestFit="1" customWidth="1"/>
  </cols>
  <sheetData>
    <row r="1" spans="1:8" ht="22.5" customHeight="1" x14ac:dyDescent="0.25">
      <c r="C1" s="732" t="s">
        <v>1041</v>
      </c>
      <c r="F1" s="729" t="s">
        <v>2035</v>
      </c>
    </row>
    <row r="2" spans="1:8" s="106" customFormat="1" ht="20.25" customHeight="1" x14ac:dyDescent="0.25">
      <c r="A2" s="733" t="s">
        <v>71</v>
      </c>
      <c r="B2" s="241"/>
      <c r="C2" s="241"/>
      <c r="D2" s="734">
        <v>45465</v>
      </c>
      <c r="E2" s="734">
        <v>45495</v>
      </c>
      <c r="F2" s="731"/>
    </row>
    <row r="3" spans="1:8" ht="45.75" customHeight="1" x14ac:dyDescent="0.2">
      <c r="A3" s="730" t="s">
        <v>480</v>
      </c>
      <c r="B3" s="730" t="s">
        <v>481</v>
      </c>
      <c r="C3" s="730" t="s">
        <v>1</v>
      </c>
      <c r="D3" s="730" t="s">
        <v>1996</v>
      </c>
      <c r="E3" s="730" t="s">
        <v>2</v>
      </c>
      <c r="F3" s="735" t="s">
        <v>482</v>
      </c>
      <c r="G3" s="727"/>
      <c r="H3" s="725"/>
    </row>
    <row r="4" spans="1:8" ht="24" customHeight="1" x14ac:dyDescent="0.2">
      <c r="A4" s="50" t="s">
        <v>1610</v>
      </c>
      <c r="B4" s="479" t="s">
        <v>1988</v>
      </c>
      <c r="C4" s="244" t="s">
        <v>1611</v>
      </c>
      <c r="D4" s="190">
        <v>1212</v>
      </c>
      <c r="E4" s="190">
        <v>1233</v>
      </c>
      <c r="F4" s="548">
        <f t="shared" ref="F4" si="0">E4-D4</f>
        <v>21</v>
      </c>
      <c r="G4" s="726"/>
      <c r="H4" s="509"/>
    </row>
    <row r="5" spans="1:8" ht="21.75" customHeight="1" x14ac:dyDescent="0.2">
      <c r="A5" s="476"/>
      <c r="B5" s="662" t="s">
        <v>1470</v>
      </c>
      <c r="C5" s="299">
        <f>'Общ. счетчики'!G36</f>
        <v>1485</v>
      </c>
      <c r="D5" s="476"/>
      <c r="E5" s="476"/>
      <c r="F5" s="478">
        <f>F4</f>
        <v>21</v>
      </c>
      <c r="G5" s="472"/>
    </row>
    <row r="6" spans="1:8" ht="23.25" customHeight="1" x14ac:dyDescent="0.25">
      <c r="A6" s="736" t="s">
        <v>28</v>
      </c>
      <c r="B6" s="35"/>
      <c r="C6" s="571"/>
      <c r="D6" s="35"/>
      <c r="E6" s="35"/>
      <c r="F6" s="571"/>
    </row>
    <row r="7" spans="1:8" s="106" customFormat="1" ht="25.5" customHeight="1" x14ac:dyDescent="0.2">
      <c r="A7" s="50" t="s">
        <v>1354</v>
      </c>
      <c r="B7" s="719" t="s">
        <v>2023</v>
      </c>
      <c r="C7" s="719" t="s">
        <v>1952</v>
      </c>
      <c r="D7" s="548">
        <v>10326</v>
      </c>
      <c r="E7" s="548">
        <v>10326</v>
      </c>
      <c r="F7" s="548">
        <f>E7-D7</f>
        <v>0</v>
      </c>
      <c r="G7" s="276"/>
    </row>
    <row r="8" spans="1:8" s="106" customFormat="1" ht="25.5" customHeight="1" x14ac:dyDescent="0.2">
      <c r="A8" s="50" t="s">
        <v>1607</v>
      </c>
      <c r="B8" s="479" t="s">
        <v>1987</v>
      </c>
      <c r="C8" s="719" t="s">
        <v>1606</v>
      </c>
      <c r="D8" s="548">
        <v>1032</v>
      </c>
      <c r="E8" s="548">
        <v>1050</v>
      </c>
      <c r="F8" s="548">
        <f t="shared" ref="F8:F11" si="1">E8-D8</f>
        <v>18</v>
      </c>
      <c r="G8" s="276"/>
    </row>
    <row r="9" spans="1:8" s="106" customFormat="1" ht="25.5" customHeight="1" x14ac:dyDescent="0.2">
      <c r="A9" s="661" t="s">
        <v>2031</v>
      </c>
      <c r="B9" s="720" t="s">
        <v>2030</v>
      </c>
      <c r="C9" s="719" t="s">
        <v>2033</v>
      </c>
      <c r="D9" s="548">
        <v>877</v>
      </c>
      <c r="E9" s="548">
        <v>1190</v>
      </c>
      <c r="F9" s="548">
        <f t="shared" ref="F9:F10" si="2">E9-D9</f>
        <v>313</v>
      </c>
      <c r="G9" s="276"/>
    </row>
    <row r="10" spans="1:8" s="106" customFormat="1" ht="25.5" customHeight="1" x14ac:dyDescent="0.2">
      <c r="A10" s="661" t="s">
        <v>2032</v>
      </c>
      <c r="B10" s="720" t="s">
        <v>2030</v>
      </c>
      <c r="C10" s="719" t="s">
        <v>2034</v>
      </c>
      <c r="D10" s="548">
        <v>1</v>
      </c>
      <c r="E10" s="548">
        <v>1</v>
      </c>
      <c r="F10" s="548">
        <f t="shared" si="2"/>
        <v>0</v>
      </c>
      <c r="G10" s="276"/>
    </row>
    <row r="11" spans="1:8" s="106" customFormat="1" ht="25.5" customHeight="1" x14ac:dyDescent="0.2">
      <c r="A11" s="661" t="s">
        <v>1947</v>
      </c>
      <c r="B11" s="720" t="s">
        <v>1946</v>
      </c>
      <c r="C11" s="719" t="s">
        <v>1949</v>
      </c>
      <c r="D11" s="548">
        <v>2422</v>
      </c>
      <c r="E11" s="548">
        <v>2438</v>
      </c>
      <c r="F11" s="548">
        <f t="shared" si="1"/>
        <v>16</v>
      </c>
      <c r="G11" s="276"/>
    </row>
    <row r="12" spans="1:8" s="106" customFormat="1" ht="18" customHeight="1" x14ac:dyDescent="0.2">
      <c r="A12" s="50"/>
      <c r="B12" s="298" t="s">
        <v>1470</v>
      </c>
      <c r="C12" s="299">
        <f>'Общ. счетчики'!G8+'Общ. счетчики'!G9</f>
        <v>2745</v>
      </c>
      <c r="D12" s="190"/>
      <c r="E12" s="190"/>
      <c r="F12" s="478">
        <f>F7+F8</f>
        <v>18</v>
      </c>
      <c r="G12" s="107"/>
    </row>
    <row r="13" spans="1:8" s="106" customFormat="1" ht="28.5" customHeight="1" x14ac:dyDescent="0.2">
      <c r="A13" s="50" t="s">
        <v>53</v>
      </c>
      <c r="B13" s="720" t="s">
        <v>1465</v>
      </c>
      <c r="C13" s="719" t="s">
        <v>484</v>
      </c>
      <c r="D13" s="548">
        <v>27950</v>
      </c>
      <c r="E13" s="548">
        <v>28050</v>
      </c>
      <c r="F13" s="548">
        <f t="shared" ref="F13:F15" si="3">E13-D13</f>
        <v>100</v>
      </c>
      <c r="G13" s="728"/>
    </row>
    <row r="14" spans="1:8" s="106" customFormat="1" ht="28.5" customHeight="1" x14ac:dyDescent="0.2">
      <c r="A14" s="50" t="s">
        <v>1037</v>
      </c>
      <c r="B14" s="720" t="s">
        <v>1676</v>
      </c>
      <c r="C14" s="719" t="s">
        <v>1038</v>
      </c>
      <c r="D14" s="548">
        <v>17588</v>
      </c>
      <c r="E14" s="548">
        <v>17630</v>
      </c>
      <c r="F14" s="548">
        <f t="shared" si="3"/>
        <v>42</v>
      </c>
      <c r="G14" s="441"/>
    </row>
    <row r="15" spans="1:8" s="106" customFormat="1" ht="33" customHeight="1" x14ac:dyDescent="0.2">
      <c r="A15" s="50" t="s">
        <v>2011</v>
      </c>
      <c r="B15" s="719" t="s">
        <v>2027</v>
      </c>
      <c r="C15" s="548" t="s">
        <v>485</v>
      </c>
      <c r="D15" s="548">
        <v>26192</v>
      </c>
      <c r="E15" s="548">
        <v>26240</v>
      </c>
      <c r="F15" s="548">
        <f t="shared" si="3"/>
        <v>48</v>
      </c>
      <c r="G15" s="219"/>
    </row>
    <row r="16" spans="1:8" s="106" customFormat="1" ht="18" customHeight="1" x14ac:dyDescent="0.2">
      <c r="A16" s="50"/>
      <c r="B16" s="247" t="s">
        <v>1470</v>
      </c>
      <c r="C16" s="300">
        <f>'Общ. счетчики'!G13+'Общ. счетчики'!G14</f>
        <v>850</v>
      </c>
      <c r="D16" s="190"/>
      <c r="E16" s="190"/>
      <c r="F16" s="738">
        <f>F13+F14+F15</f>
        <v>190</v>
      </c>
      <c r="G16" s="219"/>
    </row>
    <row r="17" spans="1:11" s="682" customFormat="1" ht="29.25" customHeight="1" x14ac:dyDescent="0.2">
      <c r="A17" s="721" t="s">
        <v>1384</v>
      </c>
      <c r="B17" s="721" t="s">
        <v>1467</v>
      </c>
      <c r="C17" s="583">
        <v>32222217</v>
      </c>
      <c r="D17" s="548">
        <v>1521</v>
      </c>
      <c r="E17" s="548">
        <v>1521</v>
      </c>
      <c r="F17" s="548">
        <f t="shared" ref="F17:F23" si="4">E17-D17</f>
        <v>0</v>
      </c>
      <c r="G17" s="722"/>
    </row>
    <row r="18" spans="1:11" s="682" customFormat="1" ht="27" customHeight="1" x14ac:dyDescent="0.2">
      <c r="A18" s="721" t="s">
        <v>1344</v>
      </c>
      <c r="B18" s="721" t="s">
        <v>1955</v>
      </c>
      <c r="C18" s="723" t="s">
        <v>1349</v>
      </c>
      <c r="D18" s="548">
        <v>8197</v>
      </c>
      <c r="E18" s="548">
        <v>8198</v>
      </c>
      <c r="F18" s="548">
        <f t="shared" si="4"/>
        <v>1</v>
      </c>
      <c r="G18" s="760"/>
    </row>
    <row r="19" spans="1:11" s="682" customFormat="1" ht="27.75" customHeight="1" x14ac:dyDescent="0.2">
      <c r="A19" s="721" t="s">
        <v>1360</v>
      </c>
      <c r="B19" s="721" t="s">
        <v>2023</v>
      </c>
      <c r="C19" s="583">
        <v>17784290</v>
      </c>
      <c r="D19" s="548">
        <v>27559</v>
      </c>
      <c r="E19" s="548">
        <v>27559</v>
      </c>
      <c r="F19" s="548">
        <f t="shared" si="4"/>
        <v>0</v>
      </c>
    </row>
    <row r="20" spans="1:11" s="682" customFormat="1" ht="27" customHeight="1" x14ac:dyDescent="0.2">
      <c r="A20" s="721" t="s">
        <v>1361</v>
      </c>
      <c r="B20" s="721" t="s">
        <v>2014</v>
      </c>
      <c r="C20" s="583">
        <v>17786166</v>
      </c>
      <c r="D20" s="548">
        <v>5594</v>
      </c>
      <c r="E20" s="548">
        <v>5594</v>
      </c>
      <c r="F20" s="548">
        <f t="shared" si="4"/>
        <v>0</v>
      </c>
    </row>
    <row r="21" spans="1:11" s="296" customFormat="1" ht="27.75" customHeight="1" x14ac:dyDescent="0.2">
      <c r="A21" s="720" t="s">
        <v>67</v>
      </c>
      <c r="B21" s="721" t="s">
        <v>1439</v>
      </c>
      <c r="C21" s="548" t="s">
        <v>486</v>
      </c>
      <c r="D21" s="548">
        <v>20650</v>
      </c>
      <c r="E21" s="548">
        <v>20677</v>
      </c>
      <c r="F21" s="548">
        <f t="shared" si="4"/>
        <v>27</v>
      </c>
      <c r="G21" s="763"/>
      <c r="H21" s="763"/>
      <c r="I21" s="763"/>
      <c r="J21" s="766"/>
      <c r="K21" s="769"/>
    </row>
    <row r="22" spans="1:11" s="296" customFormat="1" ht="27.75" customHeight="1" x14ac:dyDescent="0.2">
      <c r="A22" s="720" t="s">
        <v>1347</v>
      </c>
      <c r="B22" s="721" t="s">
        <v>1469</v>
      </c>
      <c r="C22" s="548" t="s">
        <v>1348</v>
      </c>
      <c r="D22" s="548">
        <v>41510</v>
      </c>
      <c r="E22" s="548">
        <v>41539</v>
      </c>
      <c r="F22" s="548">
        <f t="shared" si="4"/>
        <v>29</v>
      </c>
      <c r="G22" s="764"/>
      <c r="H22" s="765"/>
      <c r="I22" s="765"/>
      <c r="J22" s="765"/>
    </row>
    <row r="23" spans="1:11" s="296" customFormat="1" ht="27.75" customHeight="1" x14ac:dyDescent="0.2">
      <c r="A23" s="720" t="s">
        <v>1608</v>
      </c>
      <c r="B23" s="479" t="s">
        <v>1987</v>
      </c>
      <c r="C23" s="548" t="s">
        <v>1609</v>
      </c>
      <c r="D23" s="548">
        <v>829</v>
      </c>
      <c r="E23" s="548">
        <v>841</v>
      </c>
      <c r="F23" s="548">
        <f t="shared" si="4"/>
        <v>12</v>
      </c>
      <c r="G23" s="724"/>
    </row>
    <row r="24" spans="1:11" ht="16.5" customHeight="1" x14ac:dyDescent="0.2">
      <c r="A24" s="476"/>
      <c r="B24" s="662" t="s">
        <v>1470</v>
      </c>
      <c r="C24" s="477">
        <f>'Общ. счетчики'!G18+'Общ. счетчики'!G19</f>
        <v>1365</v>
      </c>
      <c r="D24" s="476"/>
      <c r="E24" s="476"/>
      <c r="F24" s="478">
        <f>SUM(F17:F23)</f>
        <v>69</v>
      </c>
      <c r="G24" s="472"/>
    </row>
    <row r="25" spans="1:11" ht="18" customHeight="1" x14ac:dyDescent="0.25">
      <c r="A25" s="737" t="s">
        <v>1036</v>
      </c>
      <c r="B25" s="256"/>
      <c r="C25" s="190"/>
      <c r="D25" s="190"/>
      <c r="E25" s="190"/>
      <c r="F25" s="190"/>
      <c r="G25" s="31"/>
    </row>
    <row r="26" spans="1:11" ht="38.25" customHeight="1" x14ac:dyDescent="0.2">
      <c r="A26" s="50" t="s">
        <v>1628</v>
      </c>
      <c r="B26" s="739" t="s">
        <v>1993</v>
      </c>
      <c r="C26" s="548">
        <v>11323464</v>
      </c>
      <c r="D26" s="548">
        <v>26753</v>
      </c>
      <c r="E26" s="548">
        <v>26753</v>
      </c>
      <c r="F26" s="559">
        <f>E26-D26</f>
        <v>0</v>
      </c>
      <c r="G26" s="31"/>
    </row>
    <row r="27" spans="1:11" ht="21" customHeight="1" x14ac:dyDescent="0.2">
      <c r="A27" s="661" t="s">
        <v>1998</v>
      </c>
      <c r="B27" s="739" t="s">
        <v>1994</v>
      </c>
      <c r="C27" s="548" t="s">
        <v>1373</v>
      </c>
      <c r="D27" s="548">
        <v>82480</v>
      </c>
      <c r="E27" s="548">
        <v>82884</v>
      </c>
      <c r="F27" s="740">
        <f>E27-D27</f>
        <v>404</v>
      </c>
    </row>
    <row r="28" spans="1:11" ht="21" customHeight="1" x14ac:dyDescent="0.2">
      <c r="A28" s="661" t="s">
        <v>1998</v>
      </c>
      <c r="B28" s="739" t="s">
        <v>1995</v>
      </c>
      <c r="C28" s="548" t="s">
        <v>1941</v>
      </c>
      <c r="D28" s="548">
        <v>24883</v>
      </c>
      <c r="E28" s="548">
        <v>25341</v>
      </c>
      <c r="F28" s="559">
        <f>E28-D28</f>
        <v>458</v>
      </c>
    </row>
    <row r="29" spans="1:11" x14ac:dyDescent="0.2">
      <c r="A29" s="742" t="s">
        <v>1997</v>
      </c>
      <c r="B29" s="743"/>
      <c r="C29" s="743"/>
      <c r="D29" s="743"/>
      <c r="E29" s="744"/>
      <c r="F29" s="745">
        <f>F28+F27+F26+F24+F16+F12+F5</f>
        <v>1160</v>
      </c>
    </row>
  </sheetData>
  <customSheetViews>
    <customSheetView guid="{59BB3A05-2517-4212-B4B0-766CE27362F6}" showPageBreaks="1" state="hidden">
      <selection activeCell="H15" sqref="H15"/>
      <pageMargins left="0.7" right="0.7" top="0.75" bottom="0.75" header="0.3" footer="0.3"/>
      <pageSetup paperSize="9" orientation="portrait" verticalDpi="0" r:id="rId1"/>
    </customSheetView>
    <customSheetView guid="{11E80AD0-6AA7-470D-8311-11AF96F196E5}" topLeftCell="A28">
      <selection activeCell="E11" sqref="E11"/>
      <pageMargins left="0.7" right="0.7" top="0.75" bottom="0.75" header="0.3" footer="0.3"/>
      <pageSetup paperSize="9" orientation="portrait" verticalDpi="0" r:id="rId2"/>
    </customSheetView>
  </customSheetViews>
  <pageMargins left="0.7" right="0.7" top="0.75" bottom="0.75" header="0.3" footer="0.3"/>
  <pageSetup paperSize="9" orientation="portrait" verticalDpi="0"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C18" sqref="C18"/>
    </sheetView>
  </sheetViews>
  <sheetFormatPr defaultColWidth="9.140625" defaultRowHeight="12.75" x14ac:dyDescent="0.2"/>
  <cols>
    <col min="1" max="1" width="7.28515625" style="266" customWidth="1"/>
    <col min="2" max="2" width="33.85546875" style="266" customWidth="1"/>
    <col min="3" max="3" width="15.42578125" style="266" customWidth="1"/>
    <col min="4" max="4" width="12.42578125" style="266" customWidth="1"/>
    <col min="5" max="5" width="16" style="671" customWidth="1"/>
    <col min="6" max="6" width="19.140625" style="266" customWidth="1"/>
    <col min="7" max="7" width="16.7109375" style="671" customWidth="1"/>
    <col min="8" max="16384" width="9.140625" style="266"/>
  </cols>
  <sheetData>
    <row r="2" spans="1:7" ht="21" x14ac:dyDescent="0.2">
      <c r="A2" s="884" t="s">
        <v>2036</v>
      </c>
      <c r="B2" s="884"/>
      <c r="C2" s="884"/>
      <c r="D2" s="884"/>
    </row>
    <row r="4" spans="1:7" ht="18.75" x14ac:dyDescent="0.3">
      <c r="A4" s="267" t="s">
        <v>1961</v>
      </c>
    </row>
    <row r="5" spans="1:7" ht="13.5" thickBot="1" x14ac:dyDescent="0.25"/>
    <row r="6" spans="1:7" ht="16.5" thickBot="1" x14ac:dyDescent="0.3">
      <c r="A6" s="272" t="s">
        <v>23</v>
      </c>
      <c r="B6" s="273" t="s">
        <v>1329</v>
      </c>
      <c r="C6" s="280" t="s">
        <v>1332</v>
      </c>
      <c r="D6" s="273" t="s">
        <v>1330</v>
      </c>
      <c r="E6" s="280" t="s">
        <v>1959</v>
      </c>
      <c r="F6" s="669" t="s">
        <v>1960</v>
      </c>
      <c r="G6" s="676" t="s">
        <v>1014</v>
      </c>
    </row>
    <row r="7" spans="1:7" ht="15.75" x14ac:dyDescent="0.25">
      <c r="A7" s="269">
        <v>1</v>
      </c>
      <c r="B7" s="269" t="s">
        <v>1958</v>
      </c>
      <c r="C7" s="270">
        <f>'Общ. счетчики'!G50-C8</f>
        <v>5479.0599999999995</v>
      </c>
      <c r="D7" s="271">
        <v>5.05</v>
      </c>
      <c r="E7" s="673">
        <v>309</v>
      </c>
      <c r="F7" s="674">
        <f>C7/E7</f>
        <v>17.731585760517799</v>
      </c>
      <c r="G7" s="677">
        <f>F7*D7</f>
        <v>89.544508090614883</v>
      </c>
    </row>
    <row r="8" spans="1:7" ht="15.75" x14ac:dyDescent="0.25">
      <c r="A8" s="277">
        <v>2</v>
      </c>
      <c r="B8" s="277" t="s">
        <v>1951</v>
      </c>
      <c r="C8" s="712">
        <f>2096.04+744.9</f>
        <v>2840.94</v>
      </c>
      <c r="D8" s="271">
        <v>5.05</v>
      </c>
      <c r="E8" s="673"/>
      <c r="F8" s="674"/>
      <c r="G8" s="677"/>
    </row>
    <row r="9" spans="1:7" ht="15.75" x14ac:dyDescent="0.25">
      <c r="A9" s="277">
        <v>3</v>
      </c>
      <c r="B9" s="277" t="s">
        <v>1333</v>
      </c>
      <c r="C9" s="278">
        <v>1</v>
      </c>
      <c r="D9" s="279">
        <v>32.520000000000003</v>
      </c>
      <c r="E9" s="673">
        <v>309</v>
      </c>
      <c r="F9" s="678">
        <f t="shared" ref="F9:F11" si="0">C9/E9</f>
        <v>3.2362459546925568E-3</v>
      </c>
      <c r="G9" s="677">
        <f t="shared" ref="G9:G11" si="1">F9*D9</f>
        <v>0.10524271844660196</v>
      </c>
    </row>
    <row r="10" spans="1:7" ht="15.75" x14ac:dyDescent="0.25">
      <c r="A10" s="277">
        <v>4</v>
      </c>
      <c r="B10" s="277" t="s">
        <v>1334</v>
      </c>
      <c r="C10" s="278">
        <v>0</v>
      </c>
      <c r="D10" s="710">
        <f>0.051*D12+D9</f>
        <v>182.68950000000001</v>
      </c>
      <c r="E10" s="673"/>
      <c r="F10" s="679"/>
      <c r="G10" s="677"/>
    </row>
    <row r="11" spans="1:7" ht="15.75" x14ac:dyDescent="0.25">
      <c r="A11" s="277">
        <v>5</v>
      </c>
      <c r="B11" s="277" t="s">
        <v>1335</v>
      </c>
      <c r="C11" s="278">
        <f>C9+C10</f>
        <v>1</v>
      </c>
      <c r="D11" s="279">
        <v>37.6</v>
      </c>
      <c r="E11" s="673">
        <v>309</v>
      </c>
      <c r="F11" s="678">
        <f t="shared" si="0"/>
        <v>3.2362459546925568E-3</v>
      </c>
      <c r="G11" s="677">
        <f t="shared" si="1"/>
        <v>0.12168284789644014</v>
      </c>
    </row>
    <row r="12" spans="1:7" ht="15.75" x14ac:dyDescent="0.25">
      <c r="A12" s="277">
        <v>6</v>
      </c>
      <c r="B12" s="277" t="s">
        <v>1388</v>
      </c>
      <c r="C12" s="279">
        <v>0</v>
      </c>
      <c r="D12" s="710">
        <v>2944.5</v>
      </c>
      <c r="E12" s="670"/>
      <c r="F12" s="675"/>
      <c r="G12" s="672"/>
    </row>
    <row r="13" spans="1:7" ht="15.75" x14ac:dyDescent="0.25">
      <c r="A13" s="277">
        <v>7</v>
      </c>
      <c r="B13" s="277" t="s">
        <v>1603</v>
      </c>
      <c r="C13" s="279">
        <f>'[2]Расчет платы на отопление и ГВС'!$F$17</f>
        <v>0</v>
      </c>
      <c r="D13" s="279">
        <v>5.05</v>
      </c>
      <c r="E13" s="670"/>
      <c r="F13" s="675"/>
      <c r="G13" s="672"/>
    </row>
    <row r="14" spans="1:7" ht="17.25" customHeight="1" x14ac:dyDescent="0.3">
      <c r="A14" s="268"/>
      <c r="B14" s="268"/>
      <c r="C14" s="268"/>
      <c r="D14" s="268"/>
      <c r="G14" s="680"/>
    </row>
  </sheetData>
  <customSheetViews>
    <customSheetView guid="{59BB3A05-2517-4212-B4B0-766CE27362F6}">
      <selection activeCell="C18" sqref="C18"/>
      <pageMargins left="0.7" right="0.7" top="0.75" bottom="0.75" header="0.3" footer="0.3"/>
      <pageSetup paperSize="9" orientation="portrait" r:id="rId1"/>
    </customSheetView>
    <customSheetView guid="{11E80AD0-6AA7-470D-8311-11AF96F196E5}">
      <selection activeCell="C8" sqref="C8"/>
      <pageMargins left="0.7" right="0.7" top="0.75" bottom="0.75" header="0.3" footer="0.3"/>
      <pageSetup paperSize="9" orientation="portrait" r:id="rId2"/>
    </customSheetView>
    <customSheetView guid="{1298D0A2-0CF6-434E-A6CD-B210E2963ADD}" topLeftCell="A4">
      <selection activeCell="G11" sqref="G11"/>
      <pageMargins left="0.7" right="0.7" top="0.75" bottom="0.75" header="0.3" footer="0.3"/>
      <pageSetup paperSize="9" orientation="portrait" r:id="rId3"/>
    </customSheetView>
  </customSheetViews>
  <mergeCells count="1">
    <mergeCell ref="A2:D2"/>
  </mergeCells>
  <pageMargins left="0.7" right="0.7" top="0.75" bottom="0.75" header="0.3" footer="0.3"/>
  <pageSetup paperSize="9" orientation="portrait"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workbookViewId="0">
      <selection activeCell="K15" sqref="K15"/>
    </sheetView>
  </sheetViews>
  <sheetFormatPr defaultColWidth="9.140625" defaultRowHeight="33" customHeight="1" x14ac:dyDescent="0.2"/>
  <cols>
    <col min="1" max="1" width="9.140625" style="356"/>
    <col min="2" max="2" width="12.42578125" style="356" customWidth="1"/>
    <col min="3" max="4" width="13.85546875" style="356" customWidth="1"/>
    <col min="5" max="6" width="12.42578125" style="356" customWidth="1"/>
    <col min="7" max="7" width="15.5703125" style="356" customWidth="1"/>
    <col min="8" max="8" width="17.140625" style="356" customWidth="1"/>
    <col min="9" max="9" width="9.140625" style="356"/>
    <col min="10" max="10" width="11.5703125" style="356" bestFit="1" customWidth="1"/>
    <col min="11" max="11" width="9.5703125" style="356" bestFit="1" customWidth="1"/>
    <col min="12" max="12" width="11.5703125" style="356" bestFit="1" customWidth="1"/>
    <col min="13" max="13" width="9.140625" style="356"/>
    <col min="14" max="14" width="11.5703125" style="356" bestFit="1" customWidth="1"/>
    <col min="15" max="16384" width="9.140625" style="356"/>
  </cols>
  <sheetData>
    <row r="1" spans="1:12" ht="33" customHeight="1" x14ac:dyDescent="0.2">
      <c r="A1" s="892" t="s">
        <v>1525</v>
      </c>
      <c r="B1" s="892"/>
      <c r="C1" s="892"/>
      <c r="D1" s="892"/>
      <c r="E1" s="892"/>
      <c r="F1" s="892"/>
      <c r="G1" s="892"/>
      <c r="H1" s="892"/>
    </row>
    <row r="2" spans="1:12" ht="18" customHeight="1" x14ac:dyDescent="0.2"/>
    <row r="3" spans="1:12" ht="65.25" customHeight="1" x14ac:dyDescent="0.2">
      <c r="A3" s="369"/>
      <c r="B3" s="369" t="s">
        <v>1432</v>
      </c>
      <c r="C3" s="369" t="s">
        <v>1433</v>
      </c>
      <c r="D3" s="369" t="s">
        <v>1455</v>
      </c>
      <c r="E3" s="369" t="s">
        <v>1434</v>
      </c>
      <c r="F3" s="369" t="s">
        <v>1452</v>
      </c>
      <c r="G3" s="369" t="s">
        <v>1453</v>
      </c>
      <c r="H3" s="369" t="s">
        <v>1454</v>
      </c>
    </row>
    <row r="4" spans="1:12" ht="33" customHeight="1" x14ac:dyDescent="0.2">
      <c r="A4" s="369" t="s">
        <v>71</v>
      </c>
      <c r="B4" s="369">
        <v>22605.8</v>
      </c>
      <c r="C4" s="369">
        <f>1395.8+15954.1</f>
        <v>17349.900000000001</v>
      </c>
      <c r="D4" s="369">
        <f>457.3-24.5-3.6-40+475.9-5.5-13.1-2.1-16.5+1005.2-38.5-422.8</f>
        <v>1371.8</v>
      </c>
      <c r="E4" s="369">
        <f t="shared" ref="E4:E9" si="0">B4-C4-D4</f>
        <v>3884.0999999999976</v>
      </c>
      <c r="F4" s="369">
        <v>5.0000000000000001E-3</v>
      </c>
      <c r="G4" s="438">
        <f>E4*F4</f>
        <v>19.42049999999999</v>
      </c>
      <c r="H4" s="453">
        <f>G4/C4</f>
        <v>1.1193436273407909E-3</v>
      </c>
      <c r="K4" s="527"/>
      <c r="L4" s="525"/>
    </row>
    <row r="5" spans="1:12" ht="33" customHeight="1" x14ac:dyDescent="0.2">
      <c r="A5" s="369" t="s">
        <v>28</v>
      </c>
      <c r="B5" s="369">
        <v>24756.6</v>
      </c>
      <c r="C5" s="369">
        <f>1339.2+15133.7</f>
        <v>16472.900000000001</v>
      </c>
      <c r="D5" s="369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69">
        <f t="shared" si="0"/>
        <v>3388.4999999999964</v>
      </c>
      <c r="F5" s="369">
        <v>5.0000000000000001E-3</v>
      </c>
      <c r="G5" s="438">
        <f>E5*F5</f>
        <v>16.942499999999981</v>
      </c>
      <c r="H5" s="453">
        <f>G5/C5</f>
        <v>1.0285074273503742E-3</v>
      </c>
      <c r="L5" s="525"/>
    </row>
    <row r="6" spans="1:12" ht="33" customHeight="1" x14ac:dyDescent="0.2">
      <c r="A6" s="369" t="s">
        <v>1036</v>
      </c>
      <c r="B6" s="369">
        <v>13321.1</v>
      </c>
      <c r="C6" s="369">
        <v>6275</v>
      </c>
      <c r="D6" s="369">
        <f>678.3+6165.9</f>
        <v>6844.2</v>
      </c>
      <c r="E6" s="369">
        <f t="shared" si="0"/>
        <v>201.90000000000055</v>
      </c>
      <c r="F6" s="369">
        <v>5.0000000000000001E-3</v>
      </c>
      <c r="G6" s="438">
        <f>E6*F6</f>
        <v>1.0095000000000027</v>
      </c>
      <c r="H6" s="453">
        <f t="shared" ref="H6:H9" si="1">G6/C6</f>
        <v>1.6087649402390483E-4</v>
      </c>
      <c r="K6" s="527"/>
      <c r="L6" s="525"/>
    </row>
    <row r="7" spans="1:12" ht="33" customHeight="1" x14ac:dyDescent="0.2">
      <c r="A7" s="369" t="s">
        <v>1413</v>
      </c>
      <c r="B7" s="369">
        <v>1409.2</v>
      </c>
      <c r="C7" s="369">
        <v>1221.3</v>
      </c>
      <c r="D7" s="369">
        <v>0</v>
      </c>
      <c r="E7" s="369">
        <f t="shared" si="0"/>
        <v>187.90000000000009</v>
      </c>
      <c r="F7" s="369">
        <v>5.0000000000000001E-3</v>
      </c>
      <c r="G7" s="438">
        <f t="shared" ref="G7:G8" si="2">E7*F7</f>
        <v>0.93950000000000045</v>
      </c>
      <c r="H7" s="453">
        <f t="shared" si="1"/>
        <v>7.692622615246053E-4</v>
      </c>
      <c r="K7" s="527"/>
      <c r="L7" s="525"/>
    </row>
    <row r="8" spans="1:12" ht="33" customHeight="1" x14ac:dyDescent="0.2">
      <c r="A8" s="369" t="s">
        <v>1414</v>
      </c>
      <c r="B8" s="369">
        <v>1308.0999999999999</v>
      </c>
      <c r="C8" s="369">
        <v>1303.5999999999999</v>
      </c>
      <c r="D8" s="369">
        <v>0</v>
      </c>
      <c r="E8" s="369">
        <f t="shared" si="0"/>
        <v>4.5</v>
      </c>
      <c r="F8" s="369">
        <v>5.0000000000000001E-3</v>
      </c>
      <c r="G8" s="438">
        <f t="shared" si="2"/>
        <v>2.2499999999999999E-2</v>
      </c>
      <c r="H8" s="453">
        <f t="shared" si="1"/>
        <v>1.7259895673519485E-5</v>
      </c>
      <c r="K8" s="527"/>
      <c r="L8" s="525"/>
    </row>
    <row r="9" spans="1:12" ht="33" customHeight="1" x14ac:dyDescent="0.2">
      <c r="A9" s="369" t="s">
        <v>82</v>
      </c>
      <c r="B9" s="369">
        <v>2004.4</v>
      </c>
      <c r="C9" s="369">
        <f>1712.8</f>
        <v>1712.8</v>
      </c>
      <c r="D9" s="369">
        <f>210.1+69.4-18.03</f>
        <v>261.47000000000003</v>
      </c>
      <c r="E9" s="369">
        <f t="shared" si="0"/>
        <v>30.130000000000109</v>
      </c>
      <c r="F9" s="369">
        <v>5.0000000000000001E-3</v>
      </c>
      <c r="G9" s="438">
        <f>E9*F9</f>
        <v>0.15065000000000056</v>
      </c>
      <c r="H9" s="453">
        <f t="shared" si="1"/>
        <v>8.7955394675385669E-5</v>
      </c>
      <c r="K9" s="527"/>
      <c r="L9" s="525"/>
    </row>
    <row r="10" spans="1:12" ht="33" customHeight="1" x14ac:dyDescent="0.2">
      <c r="A10" s="369" t="s">
        <v>1419</v>
      </c>
      <c r="B10" s="369">
        <f>64.6+236.9</f>
        <v>301.5</v>
      </c>
      <c r="C10" s="369"/>
      <c r="D10" s="369"/>
      <c r="E10" s="369"/>
      <c r="F10" s="369"/>
      <c r="G10" s="438"/>
      <c r="H10" s="369"/>
    </row>
    <row r="11" spans="1:12" ht="33" customHeight="1" x14ac:dyDescent="0.2">
      <c r="A11" s="356" t="s">
        <v>1415</v>
      </c>
      <c r="B11" s="356">
        <f>SUM(B4:B10)</f>
        <v>65706.699999999983</v>
      </c>
      <c r="C11" s="356">
        <f t="shared" ref="C11:D11" si="3">SUM(C4:C9)</f>
        <v>44335.500000000007</v>
      </c>
      <c r="D11" s="455">
        <f t="shared" si="3"/>
        <v>13372.67</v>
      </c>
      <c r="E11" s="356">
        <f>SUM(E4:E9)</f>
        <v>7697.0299999999943</v>
      </c>
      <c r="F11" s="356">
        <v>5.0000000000000001E-3</v>
      </c>
      <c r="G11" s="439">
        <f>SUM(G4:G9)</f>
        <v>38.485149999999976</v>
      </c>
      <c r="H11" s="454">
        <f>G11/C11</f>
        <v>8.6804366703882824E-4</v>
      </c>
      <c r="K11" s="527"/>
      <c r="L11" s="525"/>
    </row>
    <row r="13" spans="1:12" ht="33" customHeight="1" x14ac:dyDescent="0.2">
      <c r="A13" s="892" t="s">
        <v>1526</v>
      </c>
      <c r="B13" s="892"/>
      <c r="C13" s="892"/>
      <c r="D13" s="892"/>
      <c r="E13" s="892"/>
      <c r="F13" s="892"/>
      <c r="G13" s="892"/>
      <c r="H13" s="892"/>
    </row>
    <row r="14" spans="1:12" ht="18.75" customHeight="1" x14ac:dyDescent="0.2"/>
    <row r="15" spans="1:12" ht="66" customHeight="1" x14ac:dyDescent="0.2">
      <c r="A15" s="369"/>
      <c r="B15" s="369" t="s">
        <v>1432</v>
      </c>
      <c r="C15" s="369" t="s">
        <v>1433</v>
      </c>
      <c r="D15" s="369" t="s">
        <v>1455</v>
      </c>
      <c r="E15" s="369" t="s">
        <v>1434</v>
      </c>
      <c r="F15" s="369" t="s">
        <v>1452</v>
      </c>
      <c r="G15" s="369" t="s">
        <v>1453</v>
      </c>
      <c r="H15" s="369" t="s">
        <v>1454</v>
      </c>
    </row>
    <row r="16" spans="1:12" ht="33" customHeight="1" x14ac:dyDescent="0.2">
      <c r="A16" s="369" t="s">
        <v>71</v>
      </c>
      <c r="B16" s="369">
        <v>22605.8</v>
      </c>
      <c r="C16" s="369">
        <f>1395.8+15954.1</f>
        <v>17349.900000000001</v>
      </c>
      <c r="D16" s="369">
        <f>457.3-24.5-3.6-40+475.9-5.5-13.1-2.1-16.5+1005.2-38.5-422.8</f>
        <v>1371.8</v>
      </c>
      <c r="E16" s="369">
        <f t="shared" ref="E16:E21" si="4">B16-C16-D16</f>
        <v>3884.0999999999976</v>
      </c>
      <c r="F16" s="369">
        <v>5.0000000000000001E-3</v>
      </c>
      <c r="G16" s="438">
        <f>E16*F16</f>
        <v>19.42049999999999</v>
      </c>
      <c r="H16" s="453">
        <f t="shared" ref="H16:H21" si="5">G16/C16</f>
        <v>1.1193436273407909E-3</v>
      </c>
      <c r="K16" s="527"/>
      <c r="L16" s="525"/>
    </row>
    <row r="17" spans="1:12" ht="33" customHeight="1" x14ac:dyDescent="0.2">
      <c r="A17" s="369" t="s">
        <v>28</v>
      </c>
      <c r="B17" s="369">
        <v>24756.6</v>
      </c>
      <c r="C17" s="369">
        <f>1339.2+15133.7</f>
        <v>16472.900000000001</v>
      </c>
      <c r="D17" s="369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17" s="369">
        <f t="shared" si="4"/>
        <v>3388.4999999999964</v>
      </c>
      <c r="F17" s="369">
        <v>5.0000000000000001E-3</v>
      </c>
      <c r="G17" s="438">
        <f>E17*F17</f>
        <v>16.942499999999981</v>
      </c>
      <c r="H17" s="453">
        <f t="shared" si="5"/>
        <v>1.0285074273503742E-3</v>
      </c>
      <c r="K17" s="527"/>
      <c r="L17" s="525"/>
    </row>
    <row r="18" spans="1:12" ht="33" customHeight="1" x14ac:dyDescent="0.2">
      <c r="A18" s="369" t="s">
        <v>1036</v>
      </c>
      <c r="B18" s="369">
        <v>13321.1</v>
      </c>
      <c r="C18" s="369">
        <v>6275</v>
      </c>
      <c r="D18" s="369">
        <f>678.3+6165.9</f>
        <v>6844.2</v>
      </c>
      <c r="E18" s="369">
        <f t="shared" si="4"/>
        <v>201.90000000000055</v>
      </c>
      <c r="F18" s="369">
        <v>5.0000000000000001E-3</v>
      </c>
      <c r="G18" s="438">
        <f>E18*F18</f>
        <v>1.0095000000000027</v>
      </c>
      <c r="H18" s="453">
        <f t="shared" si="5"/>
        <v>1.6087649402390483E-4</v>
      </c>
      <c r="K18" s="527"/>
      <c r="L18" s="525"/>
    </row>
    <row r="19" spans="1:12" ht="33" customHeight="1" x14ac:dyDescent="0.2">
      <c r="A19" s="369" t="s">
        <v>1413</v>
      </c>
      <c r="B19" s="369">
        <v>1409.2</v>
      </c>
      <c r="C19" s="369">
        <v>1221.3</v>
      </c>
      <c r="D19" s="369">
        <v>0</v>
      </c>
      <c r="E19" s="369">
        <f t="shared" si="4"/>
        <v>187.90000000000009</v>
      </c>
      <c r="F19" s="369">
        <v>5.0000000000000001E-3</v>
      </c>
      <c r="G19" s="438">
        <f t="shared" ref="G19:G20" si="6">E19*F19</f>
        <v>0.93950000000000045</v>
      </c>
      <c r="H19" s="453">
        <f t="shared" si="5"/>
        <v>7.692622615246053E-4</v>
      </c>
      <c r="K19" s="527"/>
      <c r="L19" s="525"/>
    </row>
    <row r="20" spans="1:12" ht="33" customHeight="1" x14ac:dyDescent="0.2">
      <c r="A20" s="369" t="s">
        <v>1414</v>
      </c>
      <c r="B20" s="369">
        <v>1308.0999999999999</v>
      </c>
      <c r="C20" s="369">
        <v>1303.5999999999999</v>
      </c>
      <c r="D20" s="369">
        <v>0</v>
      </c>
      <c r="E20" s="369">
        <f t="shared" si="4"/>
        <v>4.5</v>
      </c>
      <c r="F20" s="369">
        <v>5.0000000000000001E-3</v>
      </c>
      <c r="G20" s="438">
        <f t="shared" si="6"/>
        <v>2.2499999999999999E-2</v>
      </c>
      <c r="H20" s="453">
        <f t="shared" si="5"/>
        <v>1.7259895673519485E-5</v>
      </c>
      <c r="K20" s="527"/>
      <c r="L20" s="525"/>
    </row>
    <row r="21" spans="1:12" ht="33" customHeight="1" x14ac:dyDescent="0.2">
      <c r="A21" s="369" t="s">
        <v>82</v>
      </c>
      <c r="B21" s="369">
        <v>2004.4</v>
      </c>
      <c r="C21" s="369">
        <f>1712.8</f>
        <v>1712.8</v>
      </c>
      <c r="D21" s="369">
        <f>210.1+69.4-18.03</f>
        <v>261.47000000000003</v>
      </c>
      <c r="E21" s="369">
        <f t="shared" si="4"/>
        <v>30.130000000000109</v>
      </c>
      <c r="F21" s="369">
        <v>5.0000000000000001E-3</v>
      </c>
      <c r="G21" s="438">
        <f>E21*F21</f>
        <v>0.15065000000000056</v>
      </c>
      <c r="H21" s="453">
        <f t="shared" si="5"/>
        <v>8.7955394675385669E-5</v>
      </c>
      <c r="K21" s="527"/>
      <c r="L21" s="525"/>
    </row>
    <row r="22" spans="1:12" ht="33" customHeight="1" x14ac:dyDescent="0.2">
      <c r="A22" s="369" t="s">
        <v>1419</v>
      </c>
      <c r="B22" s="369">
        <f>64.6+236.9</f>
        <v>301.5</v>
      </c>
      <c r="C22" s="369"/>
      <c r="D22" s="369"/>
      <c r="E22" s="369"/>
      <c r="F22" s="369"/>
      <c r="G22" s="438"/>
      <c r="H22" s="369"/>
    </row>
    <row r="23" spans="1:12" ht="33" customHeight="1" x14ac:dyDescent="0.2">
      <c r="A23" s="356" t="s">
        <v>1415</v>
      </c>
      <c r="B23" s="356">
        <f>SUM(B16:B22)</f>
        <v>65706.699999999983</v>
      </c>
      <c r="C23" s="356">
        <f>SUM(C16:C21)</f>
        <v>44335.500000000007</v>
      </c>
      <c r="E23" s="356">
        <f>SUM(E16:E21)</f>
        <v>7697.0299999999943</v>
      </c>
      <c r="F23" s="356">
        <v>2.88</v>
      </c>
      <c r="G23" s="439">
        <f>SUM(G16:G21)</f>
        <v>38.485149999999976</v>
      </c>
      <c r="H23" s="454">
        <f>G23/C23</f>
        <v>8.6804366703882824E-4</v>
      </c>
      <c r="K23" s="527"/>
      <c r="L23" s="525"/>
    </row>
    <row r="25" spans="1:12" ht="33" customHeight="1" x14ac:dyDescent="0.2">
      <c r="A25" s="892" t="s">
        <v>1527</v>
      </c>
      <c r="B25" s="892"/>
      <c r="C25" s="892"/>
      <c r="D25" s="892"/>
      <c r="E25" s="892"/>
      <c r="F25" s="892"/>
      <c r="G25" s="892"/>
      <c r="H25" s="892"/>
    </row>
    <row r="26" spans="1:12" ht="16.5" customHeight="1" x14ac:dyDescent="0.2"/>
    <row r="27" spans="1:12" ht="66" customHeight="1" x14ac:dyDescent="0.2">
      <c r="A27" s="369"/>
      <c r="B27" s="369" t="s">
        <v>1432</v>
      </c>
      <c r="C27" s="369" t="s">
        <v>1433</v>
      </c>
      <c r="D27" s="369" t="s">
        <v>1455</v>
      </c>
      <c r="E27" s="369" t="s">
        <v>1434</v>
      </c>
      <c r="F27" s="369" t="s">
        <v>1452</v>
      </c>
      <c r="G27" s="369" t="s">
        <v>1453</v>
      </c>
      <c r="H27" s="369" t="s">
        <v>1454</v>
      </c>
    </row>
    <row r="28" spans="1:12" ht="33" customHeight="1" x14ac:dyDescent="0.2">
      <c r="A28" s="369" t="s">
        <v>71</v>
      </c>
      <c r="B28" s="369">
        <v>22605.8</v>
      </c>
      <c r="C28" s="369">
        <f>1395.8+15954.1</f>
        <v>17349.900000000001</v>
      </c>
      <c r="D28" s="369">
        <f>457.3-24.5-3.6-40+475.9-5.5-13.1-2.1-16.5+1005.2-38.5-422.8</f>
        <v>1371.8</v>
      </c>
      <c r="E28" s="369">
        <f t="shared" ref="E28:E33" si="7">B28-C28-D28</f>
        <v>3884.0999999999976</v>
      </c>
      <c r="F28" s="369">
        <v>0.01</v>
      </c>
      <c r="G28" s="438">
        <f>E28*F28</f>
        <v>38.84099999999998</v>
      </c>
      <c r="H28" s="453">
        <f t="shared" ref="H28:H33" si="8">G28/C28</f>
        <v>2.2386872546815819E-3</v>
      </c>
      <c r="K28" s="527"/>
      <c r="L28" s="525"/>
    </row>
    <row r="29" spans="1:12" ht="33" customHeight="1" x14ac:dyDescent="0.2">
      <c r="A29" s="369" t="s">
        <v>28</v>
      </c>
      <c r="B29" s="369">
        <v>24756.6</v>
      </c>
      <c r="C29" s="369">
        <f>1339.2+15133.7</f>
        <v>16472.900000000001</v>
      </c>
      <c r="D29" s="369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29" s="369">
        <f t="shared" si="7"/>
        <v>3388.4999999999964</v>
      </c>
      <c r="F29" s="369">
        <v>0.01</v>
      </c>
      <c r="G29" s="438">
        <f t="shared" ref="G29:G33" si="9">E29*F29</f>
        <v>33.884999999999962</v>
      </c>
      <c r="H29" s="453">
        <f t="shared" si="8"/>
        <v>2.0570148547007483E-3</v>
      </c>
      <c r="L29" s="525"/>
    </row>
    <row r="30" spans="1:12" ht="33" customHeight="1" x14ac:dyDescent="0.2">
      <c r="A30" s="369" t="s">
        <v>1036</v>
      </c>
      <c r="B30" s="369">
        <v>13321.1</v>
      </c>
      <c r="C30" s="369">
        <v>6275</v>
      </c>
      <c r="D30" s="369">
        <f>678.3+6165.9</f>
        <v>6844.2</v>
      </c>
      <c r="E30" s="369">
        <f t="shared" si="7"/>
        <v>201.90000000000055</v>
      </c>
      <c r="F30" s="369">
        <v>0.01</v>
      </c>
      <c r="G30" s="438">
        <f t="shared" si="9"/>
        <v>2.0190000000000055</v>
      </c>
      <c r="H30" s="453">
        <f t="shared" si="8"/>
        <v>3.2175298804780966E-4</v>
      </c>
      <c r="L30" s="525"/>
    </row>
    <row r="31" spans="1:12" ht="33" customHeight="1" x14ac:dyDescent="0.2">
      <c r="A31" s="369" t="s">
        <v>1413</v>
      </c>
      <c r="B31" s="369">
        <v>1409.2</v>
      </c>
      <c r="C31" s="369">
        <v>1221.3</v>
      </c>
      <c r="D31" s="369">
        <v>0</v>
      </c>
      <c r="E31" s="369">
        <f t="shared" si="7"/>
        <v>187.90000000000009</v>
      </c>
      <c r="F31" s="369">
        <v>0.01</v>
      </c>
      <c r="G31" s="438">
        <f t="shared" si="9"/>
        <v>1.8790000000000009</v>
      </c>
      <c r="H31" s="453">
        <f t="shared" si="8"/>
        <v>1.5385245230492106E-3</v>
      </c>
      <c r="L31" s="525"/>
    </row>
    <row r="32" spans="1:12" ht="33" customHeight="1" x14ac:dyDescent="0.2">
      <c r="A32" s="369" t="s">
        <v>1414</v>
      </c>
      <c r="B32" s="369">
        <v>1308.0999999999999</v>
      </c>
      <c r="C32" s="369">
        <v>1303.5999999999999</v>
      </c>
      <c r="D32" s="369">
        <v>0</v>
      </c>
      <c r="E32" s="369">
        <f t="shared" si="7"/>
        <v>4.5</v>
      </c>
      <c r="F32" s="369">
        <v>0.01</v>
      </c>
      <c r="G32" s="438">
        <f t="shared" si="9"/>
        <v>4.4999999999999998E-2</v>
      </c>
      <c r="H32" s="453">
        <f t="shared" si="8"/>
        <v>3.451979134703897E-5</v>
      </c>
      <c r="L32" s="525"/>
    </row>
    <row r="33" spans="1:12" ht="33" customHeight="1" x14ac:dyDescent="0.2">
      <c r="A33" s="369" t="s">
        <v>82</v>
      </c>
      <c r="B33" s="369">
        <v>2004.4</v>
      </c>
      <c r="C33" s="369">
        <f>1712.8</f>
        <v>1712.8</v>
      </c>
      <c r="D33" s="369">
        <f>210.1+69.4-18.03</f>
        <v>261.47000000000003</v>
      </c>
      <c r="E33" s="369">
        <f t="shared" si="7"/>
        <v>30.130000000000109</v>
      </c>
      <c r="F33" s="369">
        <v>0.01</v>
      </c>
      <c r="G33" s="438">
        <f t="shared" si="9"/>
        <v>0.30130000000000112</v>
      </c>
      <c r="H33" s="453">
        <f t="shared" si="8"/>
        <v>1.7591078935077134E-4</v>
      </c>
      <c r="L33" s="525"/>
    </row>
    <row r="34" spans="1:12" ht="33" customHeight="1" x14ac:dyDescent="0.2">
      <c r="A34" s="369" t="s">
        <v>1419</v>
      </c>
      <c r="B34" s="369">
        <f>64.6+236.9</f>
        <v>301.5</v>
      </c>
      <c r="C34" s="369"/>
      <c r="D34" s="369"/>
      <c r="E34" s="369"/>
      <c r="F34" s="369"/>
      <c r="G34" s="438"/>
      <c r="H34" s="369"/>
    </row>
    <row r="35" spans="1:12" ht="33" customHeight="1" x14ac:dyDescent="0.2">
      <c r="A35" s="356" t="s">
        <v>1415</v>
      </c>
      <c r="B35" s="356">
        <f>SUM(B28:B34)</f>
        <v>65706.699999999983</v>
      </c>
      <c r="C35" s="356">
        <f t="shared" ref="C35" si="10">SUM(C28:C33)</f>
        <v>44335.500000000007</v>
      </c>
      <c r="E35" s="356">
        <f>SUM(E28:E33)</f>
        <v>7697.0299999999943</v>
      </c>
      <c r="F35" s="356">
        <v>2.88</v>
      </c>
      <c r="G35" s="439">
        <f t="shared" ref="G35" si="11">SUM(G28:G33)</f>
        <v>76.970299999999952</v>
      </c>
      <c r="H35" s="454">
        <f>G35/C35</f>
        <v>1.7360873340776565E-3</v>
      </c>
      <c r="K35" s="527"/>
      <c r="L35" s="525"/>
    </row>
  </sheetData>
  <customSheetViews>
    <customSheetView guid="{59BB3A05-2517-4212-B4B0-766CE27362F6}" state="hidden">
      <selection activeCell="K15" sqref="K15"/>
      <pageMargins left="0.7" right="0.7" top="0.75" bottom="0.75" header="0.3" footer="0.3"/>
      <pageSetup paperSize="9" orientation="portrait" r:id="rId1"/>
    </customSheetView>
    <customSheetView guid="{11E80AD0-6AA7-470D-8311-11AF96F196E5}">
      <selection activeCell="H24" sqref="H24"/>
      <pageMargins left="0.7" right="0.7" top="0.75" bottom="0.75" header="0.3" footer="0.3"/>
      <pageSetup paperSize="9" orientation="portrait" r:id="rId2"/>
    </customSheetView>
    <customSheetView guid="{1298D0A2-0CF6-434E-A6CD-B210E2963ADD}" topLeftCell="A16">
      <selection activeCell="H24" sqref="H24"/>
      <pageMargins left="0.7" right="0.7" top="0.75" bottom="0.75" header="0.3" footer="0.3"/>
      <pageSetup paperSize="9" orientation="portrait" r:id="rId3"/>
    </customSheetView>
  </customSheetViews>
  <mergeCells count="3">
    <mergeCell ref="A13:H13"/>
    <mergeCell ref="A1:H1"/>
    <mergeCell ref="A25:H25"/>
  </mergeCells>
  <pageMargins left="0.7" right="0.7" top="0.75" bottom="0.75" header="0.3" footer="0.3"/>
  <pageSetup paperSize="9" orientation="portrait" r:id="rId4"/>
  <legacy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opLeftCell="A16" zoomScaleNormal="100" workbookViewId="0">
      <selection activeCell="K8" sqref="K8"/>
    </sheetView>
  </sheetViews>
  <sheetFormatPr defaultColWidth="9.140625" defaultRowHeight="33" customHeight="1" x14ac:dyDescent="0.2"/>
  <cols>
    <col min="1" max="1" width="9.140625" style="356"/>
    <col min="2" max="2" width="12.42578125" style="356" customWidth="1"/>
    <col min="3" max="4" width="13.85546875" style="356" customWidth="1"/>
    <col min="5" max="6" width="12.42578125" style="356" customWidth="1"/>
    <col min="7" max="7" width="15.5703125" style="356" customWidth="1"/>
    <col min="8" max="8" width="16.7109375" style="356" customWidth="1"/>
    <col min="9" max="9" width="15.42578125" style="356" customWidth="1"/>
    <col min="10" max="10" width="17.140625" style="356" customWidth="1"/>
    <col min="11" max="11" width="9.140625" style="356"/>
    <col min="12" max="12" width="11.5703125" style="356" bestFit="1" customWidth="1"/>
    <col min="13" max="16384" width="9.140625" style="356"/>
  </cols>
  <sheetData>
    <row r="1" spans="1:11" ht="33" customHeight="1" x14ac:dyDescent="0.2">
      <c r="A1" s="892" t="s">
        <v>1529</v>
      </c>
      <c r="B1" s="892"/>
      <c r="C1" s="892"/>
      <c r="D1" s="892"/>
      <c r="E1" s="892"/>
      <c r="F1" s="892"/>
      <c r="G1" s="892"/>
      <c r="H1" s="892"/>
      <c r="I1" s="496"/>
    </row>
    <row r="2" spans="1:11" ht="18" customHeight="1" x14ac:dyDescent="0.2"/>
    <row r="3" spans="1:11" ht="72.75" customHeight="1" x14ac:dyDescent="0.2">
      <c r="A3" s="369"/>
      <c r="B3" s="369" t="s">
        <v>1432</v>
      </c>
      <c r="C3" s="369" t="s">
        <v>1433</v>
      </c>
      <c r="D3" s="369" t="s">
        <v>1455</v>
      </c>
      <c r="E3" s="369" t="s">
        <v>1434</v>
      </c>
      <c r="F3" s="369" t="s">
        <v>1428</v>
      </c>
      <c r="G3" s="369" t="s">
        <v>1435</v>
      </c>
      <c r="H3" s="369" t="s">
        <v>1528</v>
      </c>
    </row>
    <row r="4" spans="1:11" ht="33" customHeight="1" x14ac:dyDescent="0.2">
      <c r="A4" s="369" t="s">
        <v>71</v>
      </c>
      <c r="B4" s="369">
        <v>22605.8</v>
      </c>
      <c r="C4" s="369">
        <f>1395.8+15954.1</f>
        <v>17349.900000000001</v>
      </c>
      <c r="D4" s="369">
        <f>457.3-24.5-3.6-40+475.9-5.5-13.1-2.1-16.5+1005.2-38.5-422.8</f>
        <v>1371.8</v>
      </c>
      <c r="E4" s="369">
        <f t="shared" ref="E4:E9" si="0">B4-C4-D4</f>
        <v>3884.0999999999976</v>
      </c>
      <c r="F4" s="369">
        <v>3.23</v>
      </c>
      <c r="G4" s="438">
        <f t="shared" ref="G4:G8" si="1">E4*F4</f>
        <v>12545.642999999993</v>
      </c>
      <c r="H4" s="449">
        <f>G4/C4</f>
        <v>0.72309598326215085</v>
      </c>
    </row>
    <row r="5" spans="1:11" ht="33" customHeight="1" x14ac:dyDescent="0.2">
      <c r="A5" s="369" t="s">
        <v>28</v>
      </c>
      <c r="B5" s="369">
        <v>24756.6</v>
      </c>
      <c r="C5" s="369">
        <f>1339.2+15133.7</f>
        <v>16472.900000000001</v>
      </c>
      <c r="D5" s="369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69">
        <f t="shared" si="0"/>
        <v>3388.4999999999964</v>
      </c>
      <c r="F5" s="369">
        <v>3.23</v>
      </c>
      <c r="G5" s="438">
        <f t="shared" si="1"/>
        <v>10944.854999999989</v>
      </c>
      <c r="H5" s="449">
        <f>G5/C5</f>
        <v>0.66441579806834183</v>
      </c>
      <c r="J5" s="485"/>
    </row>
    <row r="6" spans="1:11" ht="33" customHeight="1" x14ac:dyDescent="0.2">
      <c r="A6" s="369" t="s">
        <v>1036</v>
      </c>
      <c r="B6" s="369">
        <v>13321.1</v>
      </c>
      <c r="C6" s="369">
        <v>6275</v>
      </c>
      <c r="D6" s="369">
        <f>678.3+6165.9</f>
        <v>6844.2</v>
      </c>
      <c r="E6" s="369">
        <f t="shared" si="0"/>
        <v>201.90000000000055</v>
      </c>
      <c r="F6" s="369">
        <v>3.23</v>
      </c>
      <c r="G6" s="438">
        <f t="shared" si="1"/>
        <v>652.13700000000176</v>
      </c>
      <c r="H6" s="449">
        <f t="shared" ref="H6:H7" si="2">G6/C6</f>
        <v>0.10392621513944252</v>
      </c>
    </row>
    <row r="7" spans="1:11" ht="33" customHeight="1" x14ac:dyDescent="0.2">
      <c r="A7" s="369" t="s">
        <v>1413</v>
      </c>
      <c r="B7" s="369">
        <v>1409.2</v>
      </c>
      <c r="C7" s="369">
        <v>1221.3</v>
      </c>
      <c r="D7" s="369">
        <v>0</v>
      </c>
      <c r="E7" s="369">
        <f t="shared" si="0"/>
        <v>187.90000000000009</v>
      </c>
      <c r="F7" s="369">
        <v>3.23</v>
      </c>
      <c r="G7" s="438">
        <f t="shared" si="1"/>
        <v>606.91700000000026</v>
      </c>
      <c r="H7" s="449">
        <f t="shared" si="2"/>
        <v>0.49694342094489502</v>
      </c>
    </row>
    <row r="8" spans="1:11" ht="33" customHeight="1" x14ac:dyDescent="0.2">
      <c r="A8" s="369" t="s">
        <v>1414</v>
      </c>
      <c r="B8" s="369">
        <v>1308.0999999999999</v>
      </c>
      <c r="C8" s="369">
        <v>1303.5999999999999</v>
      </c>
      <c r="D8" s="369">
        <v>0</v>
      </c>
      <c r="E8" s="369">
        <f t="shared" si="0"/>
        <v>4.5</v>
      </c>
      <c r="F8" s="369">
        <v>3.23</v>
      </c>
      <c r="G8" s="438">
        <f t="shared" si="1"/>
        <v>14.535</v>
      </c>
      <c r="H8" s="449">
        <f>G8/C8</f>
        <v>1.1149892605093588E-2</v>
      </c>
    </row>
    <row r="9" spans="1:11" ht="33" customHeight="1" x14ac:dyDescent="0.2">
      <c r="A9" s="369" t="s">
        <v>82</v>
      </c>
      <c r="B9" s="369">
        <v>2004.4</v>
      </c>
      <c r="C9" s="369">
        <f>1712.8</f>
        <v>1712.8</v>
      </c>
      <c r="D9" s="369">
        <f>210.1+69.4-18.03</f>
        <v>261.47000000000003</v>
      </c>
      <c r="E9" s="369">
        <f t="shared" si="0"/>
        <v>30.130000000000109</v>
      </c>
      <c r="F9" s="369">
        <v>3.23</v>
      </c>
      <c r="G9" s="438">
        <f>E9*F9</f>
        <v>97.319900000000345</v>
      </c>
      <c r="H9" s="449">
        <f>G9/C9</f>
        <v>5.6819184960299127E-2</v>
      </c>
    </row>
    <row r="10" spans="1:11" ht="33" customHeight="1" x14ac:dyDescent="0.2">
      <c r="A10" s="369" t="s">
        <v>1419</v>
      </c>
      <c r="B10" s="369">
        <f>64.6+236.9</f>
        <v>301.5</v>
      </c>
      <c r="C10" s="369"/>
      <c r="D10" s="369">
        <v>301.5</v>
      </c>
      <c r="E10" s="369"/>
      <c r="F10" s="369"/>
      <c r="G10" s="438"/>
      <c r="H10" s="369"/>
    </row>
    <row r="11" spans="1:11" ht="33" customHeight="1" x14ac:dyDescent="0.35">
      <c r="A11" s="356" t="s">
        <v>1415</v>
      </c>
      <c r="B11" s="356">
        <f>SUM(B4:B10)</f>
        <v>65706.699999999983</v>
      </c>
      <c r="C11" s="356">
        <f>SUM(C4:C9)</f>
        <v>44335.500000000007</v>
      </c>
      <c r="D11" s="455">
        <f>SUM(D4:D10)</f>
        <v>13674.17</v>
      </c>
      <c r="E11" s="356">
        <f>SUM(E4:E9)</f>
        <v>7697.0299999999943</v>
      </c>
      <c r="F11" s="369">
        <v>3.23</v>
      </c>
      <c r="G11" s="439">
        <f>SUM(G4:G9)</f>
        <v>24861.406899999984</v>
      </c>
      <c r="H11" s="563">
        <f>G11/C11</f>
        <v>0.560756208907083</v>
      </c>
    </row>
    <row r="12" spans="1:11" ht="33" customHeight="1" x14ac:dyDescent="0.2">
      <c r="C12" s="356">
        <f>C11-C6</f>
        <v>38060.500000000007</v>
      </c>
      <c r="H12" s="446"/>
    </row>
    <row r="13" spans="1:11" ht="33" customHeight="1" x14ac:dyDescent="0.2">
      <c r="C13" s="13" t="s">
        <v>2029</v>
      </c>
      <c r="G13" s="780">
        <v>21600</v>
      </c>
      <c r="H13" s="781">
        <f>G13/C11</f>
        <v>0.48719423486822067</v>
      </c>
    </row>
    <row r="14" spans="1:11" ht="23.25" customHeight="1" x14ac:dyDescent="0.2">
      <c r="A14" t="s">
        <v>1429</v>
      </c>
      <c r="H14" s="445">
        <f>'Общ. счетчики'!B52</f>
        <v>110775</v>
      </c>
      <c r="I14" s="757"/>
    </row>
    <row r="15" spans="1:11" ht="23.25" customHeight="1" x14ac:dyDescent="0.2">
      <c r="A15" t="s">
        <v>1436</v>
      </c>
      <c r="H15" s="447"/>
      <c r="I15" s="465"/>
    </row>
    <row r="16" spans="1:11" ht="15" customHeight="1" x14ac:dyDescent="0.2">
      <c r="A16" s="356" t="s">
        <v>1376</v>
      </c>
      <c r="H16" s="752">
        <f>Под.6!F202+'Нежелые помещения'!F5</f>
        <v>45201</v>
      </c>
      <c r="I16" s="465"/>
      <c r="K16" s="460"/>
    </row>
    <row r="17" spans="1:10" ht="15" customHeight="1" x14ac:dyDescent="0.2">
      <c r="A17" s="356" t="s">
        <v>1377</v>
      </c>
      <c r="H17" s="752">
        <f>'Под. 1 и 2'!F118+'Под. 3'!F32+'Под. 4  и 5'!F60+'Нежелые помещения'!F24+'Нежелые помещения'!F16+'Нежелые помещения'!F12</f>
        <v>41278</v>
      </c>
      <c r="I17" s="465"/>
    </row>
    <row r="18" spans="1:10" ht="15" customHeight="1" x14ac:dyDescent="0.2">
      <c r="A18" s="356" t="s">
        <v>1378</v>
      </c>
      <c r="H18" s="752">
        <f>'Общ. счетчики'!G50</f>
        <v>8320</v>
      </c>
      <c r="I18" s="465"/>
      <c r="J18" s="485"/>
    </row>
    <row r="19" spans="1:10" ht="23.25" customHeight="1" x14ac:dyDescent="0.2">
      <c r="A19" t="s">
        <v>1431</v>
      </c>
      <c r="H19" s="447"/>
      <c r="I19" s="465"/>
    </row>
    <row r="20" spans="1:10" ht="23.25" customHeight="1" x14ac:dyDescent="0.2">
      <c r="A20" t="s">
        <v>1430</v>
      </c>
      <c r="H20" s="448">
        <f>SUM(H16:H19)</f>
        <v>94799</v>
      </c>
      <c r="I20" s="448"/>
      <c r="J20" s="759"/>
    </row>
    <row r="21" spans="1:10" ht="23.25" customHeight="1" x14ac:dyDescent="0.2">
      <c r="A21" s="13" t="s">
        <v>1976</v>
      </c>
      <c r="H21" s="753">
        <f>'Общ. счетчики'!G35</f>
        <v>8460</v>
      </c>
      <c r="I21" s="448"/>
      <c r="J21" s="446"/>
    </row>
    <row r="22" spans="1:10" ht="33" customHeight="1" x14ac:dyDescent="0.2">
      <c r="G22" s="700" t="s">
        <v>2012</v>
      </c>
      <c r="H22" s="701">
        <f>H14-H20-H21</f>
        <v>7516</v>
      </c>
      <c r="I22" s="446"/>
    </row>
    <row r="23" spans="1:10" ht="33" customHeight="1" x14ac:dyDescent="0.2">
      <c r="H23" s="761"/>
      <c r="I23" s="446"/>
    </row>
  </sheetData>
  <customSheetViews>
    <customSheetView guid="{59BB3A05-2517-4212-B4B0-766CE27362F6}" fitToPage="1" state="hidden" topLeftCell="A16">
      <selection activeCell="K8" sqref="K8"/>
      <pageMargins left="0.70866141732283472" right="0.70866141732283472" top="0.74803149606299213" bottom="0.74803149606299213" header="0.31496062992125984" footer="0.31496062992125984"/>
      <pageSetup paperSize="9" scale="73" orientation="portrait" r:id="rId1"/>
    </customSheetView>
    <customSheetView guid="{11E80AD0-6AA7-470D-8311-11AF96F196E5}" fitToPage="1" topLeftCell="A13">
      <selection activeCell="H13" sqref="H13"/>
      <pageMargins left="0.70866141732283472" right="0.70866141732283472" top="0.74803149606299213" bottom="0.74803149606299213" header="0.31496062992125984" footer="0.31496062992125984"/>
      <pageSetup paperSize="9" scale="83" orientation="portrait" r:id="rId2"/>
    </customSheetView>
    <customSheetView guid="{1298D0A2-0CF6-434E-A6CD-B210E2963ADD}" fitToPage="1">
      <selection activeCell="D8" sqref="D8"/>
      <pageMargins left="0.70866141732283472" right="0.70866141732283472" top="0.74803149606299213" bottom="0.74803149606299213" header="0.31496062992125984" footer="0.31496062992125984"/>
      <pageSetup paperSize="9" scale="83" orientation="portrait" r:id="rId3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3" orientation="portrait" r:id="rId4"/>
  <legacy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zoomScale="110" zoomScaleNormal="110" workbookViewId="0">
      <selection activeCell="H10" sqref="H10"/>
    </sheetView>
  </sheetViews>
  <sheetFormatPr defaultColWidth="9.140625" defaultRowHeight="33" customHeight="1" x14ac:dyDescent="0.2"/>
  <cols>
    <col min="1" max="1" width="6.5703125" style="357" customWidth="1"/>
    <col min="2" max="2" width="23.5703125" style="357" customWidth="1"/>
    <col min="3" max="3" width="10.140625" style="357" customWidth="1"/>
    <col min="4" max="4" width="15.85546875" style="357" customWidth="1"/>
    <col min="5" max="5" width="10.7109375" style="357" customWidth="1"/>
    <col min="6" max="6" width="11.42578125" style="357" customWidth="1"/>
    <col min="7" max="7" width="18.5703125" style="357" customWidth="1"/>
    <col min="8" max="8" width="8.85546875" style="357" customWidth="1"/>
    <col min="9" max="16384" width="9.140625" style="357"/>
  </cols>
  <sheetData>
    <row r="1" spans="1:9" ht="36.75" customHeight="1" x14ac:dyDescent="0.2">
      <c r="A1" s="546" t="s">
        <v>2037</v>
      </c>
      <c r="B1" s="547"/>
      <c r="C1" s="547"/>
      <c r="D1" s="547"/>
      <c r="E1" s="547"/>
      <c r="F1" s="547"/>
      <c r="G1" s="547"/>
    </row>
    <row r="2" spans="1:9" ht="15" customHeight="1" x14ac:dyDescent="0.2">
      <c r="A2" s="895" t="s">
        <v>1392</v>
      </c>
      <c r="B2" s="895" t="s">
        <v>1393</v>
      </c>
      <c r="C2" s="895" t="s">
        <v>1394</v>
      </c>
      <c r="D2" s="895" t="s">
        <v>1395</v>
      </c>
      <c r="E2" s="895" t="s">
        <v>1396</v>
      </c>
      <c r="F2" s="895"/>
      <c r="G2" s="895"/>
    </row>
    <row r="3" spans="1:9" ht="15" customHeight="1" x14ac:dyDescent="0.2">
      <c r="A3" s="895"/>
      <c r="B3" s="895"/>
      <c r="C3" s="895"/>
      <c r="D3" s="895"/>
      <c r="E3" s="895" t="s">
        <v>1397</v>
      </c>
      <c r="F3" s="895"/>
      <c r="G3" s="895" t="s">
        <v>1400</v>
      </c>
    </row>
    <row r="4" spans="1:9" ht="15" customHeight="1" x14ac:dyDescent="0.2">
      <c r="A4" s="895"/>
      <c r="B4" s="895"/>
      <c r="C4" s="895"/>
      <c r="D4" s="855"/>
      <c r="E4" s="442" t="s">
        <v>1398</v>
      </c>
      <c r="F4" s="442" t="s">
        <v>1399</v>
      </c>
      <c r="G4" s="895"/>
    </row>
    <row r="5" spans="1:9" ht="17.25" customHeight="1" x14ac:dyDescent="0.2">
      <c r="A5" s="358" t="s">
        <v>1403</v>
      </c>
      <c r="B5" s="359" t="s">
        <v>1401</v>
      </c>
      <c r="C5" s="443" t="s">
        <v>1402</v>
      </c>
      <c r="D5" s="716">
        <v>9328.73</v>
      </c>
      <c r="E5" s="665"/>
      <c r="F5" s="359"/>
      <c r="G5" s="360"/>
    </row>
    <row r="6" spans="1:9" ht="21.75" customHeight="1" x14ac:dyDescent="0.2">
      <c r="A6" s="358" t="s">
        <v>1403</v>
      </c>
      <c r="B6" s="359" t="s">
        <v>1405</v>
      </c>
      <c r="C6" s="360" t="s">
        <v>1402</v>
      </c>
      <c r="D6" s="684"/>
      <c r="E6" s="543">
        <f>E7*0.0743</f>
        <v>67.840358000000009</v>
      </c>
      <c r="F6" s="459">
        <f>F7*0.0743</f>
        <v>42.718041999999997</v>
      </c>
      <c r="G6" s="459">
        <f>G7*0.0743</f>
        <v>2.8598070000000004</v>
      </c>
      <c r="I6" s="762"/>
    </row>
    <row r="7" spans="1:9" ht="21.75" customHeight="1" x14ac:dyDescent="0.2">
      <c r="A7" s="358" t="s">
        <v>1406</v>
      </c>
      <c r="B7" s="359" t="s">
        <v>1407</v>
      </c>
      <c r="C7" s="360" t="s">
        <v>1408</v>
      </c>
      <c r="D7" s="359"/>
      <c r="E7" s="572">
        <f>1488-F7</f>
        <v>913.06000000000006</v>
      </c>
      <c r="F7" s="360">
        <f>178*3.23</f>
        <v>574.93999999999994</v>
      </c>
      <c r="G7" s="713">
        <v>38.49</v>
      </c>
    </row>
    <row r="8" spans="1:9" ht="12" customHeight="1" x14ac:dyDescent="0.2">
      <c r="A8" s="358" t="s">
        <v>1406</v>
      </c>
      <c r="B8" s="359" t="s">
        <v>1409</v>
      </c>
      <c r="C8" s="360" t="s">
        <v>1408</v>
      </c>
      <c r="D8" s="770">
        <v>334633</v>
      </c>
      <c r="E8" s="572">
        <v>1295</v>
      </c>
      <c r="F8" s="360">
        <f>178*4.33</f>
        <v>770.74</v>
      </c>
      <c r="G8" s="713">
        <v>38.49</v>
      </c>
      <c r="H8" s="536"/>
    </row>
    <row r="9" spans="1:9" ht="12" customHeight="1" x14ac:dyDescent="0.2">
      <c r="A9" s="358" t="s">
        <v>1406</v>
      </c>
      <c r="B9" s="359" t="s">
        <v>1410</v>
      </c>
      <c r="C9" s="360" t="s">
        <v>1408</v>
      </c>
      <c r="D9" s="359"/>
      <c r="E9" s="459">
        <f>E7+E8</f>
        <v>2208.06</v>
      </c>
      <c r="F9" s="459">
        <f>F7+F8</f>
        <v>1345.6799999999998</v>
      </c>
      <c r="G9" s="713">
        <f>G7+G8</f>
        <v>76.98</v>
      </c>
    </row>
    <row r="10" spans="1:9" ht="12" customHeight="1" x14ac:dyDescent="0.2">
      <c r="A10" s="358" t="s">
        <v>1404</v>
      </c>
      <c r="B10" s="359" t="s">
        <v>1411</v>
      </c>
      <c r="C10" s="360" t="s">
        <v>1381</v>
      </c>
      <c r="D10" s="523"/>
      <c r="E10" s="524">
        <v>87896</v>
      </c>
      <c r="F10" s="666">
        <f>Под.6!G202+'Под. 4  и 5'!G60+'Под. 3'!G32+'Под. 1 и 2'!G118</f>
        <v>1279</v>
      </c>
      <c r="G10" s="528">
        <f>21600</f>
        <v>21600</v>
      </c>
    </row>
    <row r="11" spans="1:9" ht="15" customHeight="1" x14ac:dyDescent="0.2">
      <c r="E11" s="893"/>
      <c r="F11" s="894"/>
    </row>
    <row r="12" spans="1:9" ht="33" customHeight="1" x14ac:dyDescent="0.2">
      <c r="F12" s="747"/>
    </row>
    <row r="13" spans="1:9" ht="33" customHeight="1" x14ac:dyDescent="0.2">
      <c r="G13" s="526"/>
    </row>
    <row r="14" spans="1:9" ht="33" customHeight="1" x14ac:dyDescent="0.2">
      <c r="F14" s="357" t="s">
        <v>492</v>
      </c>
      <c r="G14" s="526"/>
    </row>
  </sheetData>
  <customSheetViews>
    <customSheetView guid="{59BB3A05-2517-4212-B4B0-766CE27362F6}" scale="110" fitToPage="1">
      <selection activeCell="H10" sqref="H10"/>
      <pageMargins left="0.70866141732283472" right="0.70866141732283472" top="0.74803149606299213" bottom="0.74803149606299213" header="0.31496062992125984" footer="0.31496062992125984"/>
      <pageSetup paperSize="9" scale="92" orientation="portrait" r:id="rId1"/>
    </customSheetView>
    <customSheetView guid="{11E80AD0-6AA7-470D-8311-11AF96F196E5}" scale="110" fitToPage="1">
      <selection activeCell="E10" sqref="E10:G10"/>
      <pageMargins left="0.70866141732283472" right="0.70866141732283472" top="0.74803149606299213" bottom="0.74803149606299213" header="0.31496062992125984" footer="0.31496062992125984"/>
      <pageSetup paperSize="9" scale="92" orientation="portrait" r:id="rId2"/>
    </customSheetView>
    <customSheetView guid="{1298D0A2-0CF6-434E-A6CD-B210E2963ADD}" scale="110" fitToPage="1">
      <selection activeCell="J9" sqref="J9"/>
      <pageMargins left="0.70866141732283472" right="0.70866141732283472" top="0.74803149606299213" bottom="0.74803149606299213" header="0.31496062992125984" footer="0.31496062992125984"/>
      <pageSetup paperSize="9" scale="92" orientation="portrait" r:id="rId3"/>
    </customSheetView>
  </customSheetViews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J10" sqref="J10"/>
    </sheetView>
  </sheetViews>
  <sheetFormatPr defaultRowHeight="12.75" x14ac:dyDescent="0.2"/>
  <cols>
    <col min="1" max="1" width="12.85546875" customWidth="1"/>
    <col min="2" max="2" width="13.5703125" customWidth="1"/>
    <col min="3" max="3" width="12.85546875" customWidth="1"/>
    <col min="4" max="4" width="12.28515625" customWidth="1"/>
    <col min="5" max="5" width="14.28515625" customWidth="1"/>
  </cols>
  <sheetData>
    <row r="1" spans="1:5" ht="21.75" customHeight="1" x14ac:dyDescent="0.2"/>
    <row r="2" spans="1:5" ht="42" customHeight="1" x14ac:dyDescent="0.2">
      <c r="B2" s="356"/>
      <c r="C2" s="356"/>
      <c r="D2" s="356"/>
      <c r="E2" s="356"/>
    </row>
    <row r="3" spans="1:5" x14ac:dyDescent="0.2">
      <c r="A3" s="238"/>
      <c r="B3" s="238"/>
      <c r="C3" s="238"/>
      <c r="D3" s="238"/>
      <c r="E3" s="238"/>
    </row>
    <row r="6" spans="1:5" ht="36.75" customHeight="1" x14ac:dyDescent="0.2">
      <c r="A6" s="356"/>
    </row>
  </sheetData>
  <customSheetViews>
    <customSheetView guid="{59BB3A05-2517-4212-B4B0-766CE27362F6}" state="hidden">
      <selection activeCell="J10" sqref="J10"/>
      <pageMargins left="0.7" right="0.7" top="0.75" bottom="0.75" header="0.3" footer="0.3"/>
      <pageSetup paperSize="9" orientation="portrait" verticalDpi="0" r:id="rId1"/>
    </customSheetView>
    <customSheetView guid="{11E80AD0-6AA7-470D-8311-11AF96F196E5}">
      <selection activeCell="C11" sqref="C11"/>
      <pageMargins left="0.7" right="0.7" top="0.75" bottom="0.75" header="0.3" footer="0.3"/>
      <pageSetup paperSize="9" orientation="portrait" verticalDpi="0" r:id="rId2"/>
    </customSheetView>
    <customSheetView guid="{1298D0A2-0CF6-434E-A6CD-B210E2963ADD}">
      <selection activeCell="C11" sqref="C11"/>
      <pageMargins left="0.7" right="0.7" top="0.75" bottom="0.75" header="0.3" footer="0.3"/>
      <pageSetup paperSize="9" orientation="portrait" verticalDpi="0" r:id="rId3"/>
    </customSheetView>
  </customSheetViews>
  <pageMargins left="0.7" right="0.7" top="0.75" bottom="0.75" header="0.3" footer="0.3"/>
  <pageSetup paperSize="9" orientation="portrait" verticalDpi="0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/>
  <customSheetViews>
    <customSheetView guid="{59BB3A05-2517-4212-B4B0-766CE27362F6}" state="hidden">
      <selection activeCell="B14" sqref="B14"/>
      <pageMargins left="0.7" right="0.7" top="0.75" bottom="0.75" header="0.3" footer="0.3"/>
    </customSheetView>
    <customSheetView guid="{11E80AD0-6AA7-470D-8311-11AF96F196E5}">
      <selection activeCell="B14" sqref="B14"/>
      <pageMargins left="0.7" right="0.7" top="0.75" bottom="0.75" header="0.3" footer="0.3"/>
    </customSheetView>
    <customSheetView guid="{1298D0A2-0CF6-434E-A6CD-B210E2963ADD}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59BB3A05-2517-4212-B4B0-766CE27362F6}" state="hidden">
      <pageMargins left="0.7" right="0.7" top="0.75" bottom="0.75" header="0.3" footer="0.3"/>
    </customSheetView>
    <customSheetView guid="{11E80AD0-6AA7-470D-8311-11AF96F196E5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O14" sqref="O14"/>
    </sheetView>
  </sheetViews>
  <sheetFormatPr defaultColWidth="9.140625" defaultRowHeight="33" customHeight="1" x14ac:dyDescent="0.2"/>
  <cols>
    <col min="1" max="1" width="6.5703125" style="357" customWidth="1"/>
    <col min="2" max="2" width="23.5703125" style="357" customWidth="1"/>
    <col min="3" max="3" width="10.140625" style="357" customWidth="1"/>
    <col min="4" max="4" width="15.85546875" style="357" customWidth="1"/>
    <col min="5" max="5" width="10.7109375" style="357" customWidth="1"/>
    <col min="6" max="6" width="11.42578125" style="357" customWidth="1"/>
    <col min="7" max="7" width="18.5703125" style="357" customWidth="1"/>
    <col min="8" max="8" width="8.85546875" style="357" customWidth="1"/>
    <col min="9" max="9" width="9.140625" style="357"/>
    <col min="10" max="10" width="10" style="357" bestFit="1" customWidth="1"/>
    <col min="11" max="16384" width="9.140625" style="357"/>
  </cols>
  <sheetData>
    <row r="1" spans="1:13" ht="36.75" customHeight="1" x14ac:dyDescent="0.2">
      <c r="A1" s="546" t="s">
        <v>1991</v>
      </c>
      <c r="B1" s="547"/>
      <c r="C1" s="547"/>
      <c r="D1" s="547"/>
      <c r="E1" s="547"/>
      <c r="F1" s="547"/>
      <c r="G1" s="547"/>
    </row>
    <row r="2" spans="1:13" ht="46.5" customHeight="1" x14ac:dyDescent="0.2">
      <c r="A2" s="442" t="s">
        <v>1392</v>
      </c>
      <c r="B2" s="442" t="s">
        <v>1393</v>
      </c>
      <c r="C2" s="442" t="s">
        <v>1394</v>
      </c>
      <c r="D2" s="442" t="s">
        <v>1395</v>
      </c>
      <c r="E2" s="442" t="s">
        <v>1396</v>
      </c>
      <c r="F2"/>
      <c r="G2"/>
    </row>
    <row r="3" spans="1:13" ht="35.25" customHeight="1" x14ac:dyDescent="0.2">
      <c r="A3"/>
      <c r="B3"/>
      <c r="C3"/>
      <c r="D3"/>
      <c r="E3" s="442" t="s">
        <v>1397</v>
      </c>
      <c r="F3"/>
      <c r="G3" s="442" t="s">
        <v>1400</v>
      </c>
      <c r="J3" s="746" t="s">
        <v>1999</v>
      </c>
      <c r="K3" s="746" t="s">
        <v>2006</v>
      </c>
      <c r="L3" s="746" t="s">
        <v>2007</v>
      </c>
      <c r="M3" s="357" t="s">
        <v>2010</v>
      </c>
    </row>
    <row r="4" spans="1:13" ht="15" customHeight="1" x14ac:dyDescent="0.2">
      <c r="A4"/>
      <c r="B4"/>
      <c r="C4"/>
      <c r="D4"/>
      <c r="E4" s="442" t="s">
        <v>1398</v>
      </c>
      <c r="F4" s="442" t="s">
        <v>1399</v>
      </c>
      <c r="G4"/>
    </row>
    <row r="5" spans="1:13" ht="17.25" customHeight="1" x14ac:dyDescent="0.2">
      <c r="A5" s="358" t="s">
        <v>1403</v>
      </c>
      <c r="B5" s="359" t="s">
        <v>1401</v>
      </c>
      <c r="C5" s="443" t="s">
        <v>1402</v>
      </c>
      <c r="D5" s="716">
        <v>3959.46</v>
      </c>
      <c r="E5" s="665">
        <f>236.21+21.99</f>
        <v>258.2</v>
      </c>
      <c r="F5" s="359"/>
      <c r="G5" s="360">
        <v>302.08</v>
      </c>
      <c r="I5" s="748" t="s">
        <v>2000</v>
      </c>
      <c r="J5" s="357">
        <f>Под.6!F202</f>
        <v>45180</v>
      </c>
      <c r="K5" s="357">
        <f>'Общ. счетчики'!G39+'Общ. счетчики'!G38</f>
        <v>42680</v>
      </c>
      <c r="L5" s="357">
        <f>'Общ. счетчики'!G36+'Общ. счетчики'!G37</f>
        <v>3405</v>
      </c>
    </row>
    <row r="6" spans="1:13" ht="21.75" customHeight="1" x14ac:dyDescent="0.2">
      <c r="A6" s="358" t="s">
        <v>1403</v>
      </c>
      <c r="B6" s="359" t="s">
        <v>1405</v>
      </c>
      <c r="C6" s="360" t="s">
        <v>1402</v>
      </c>
      <c r="D6" s="684"/>
      <c r="E6" s="459">
        <f>E7*0.051</f>
        <v>62.778449999999999</v>
      </c>
      <c r="F6" s="459">
        <f>F7*0.051</f>
        <v>22.23855</v>
      </c>
      <c r="G6" s="543">
        <f>G7*0.051</f>
        <v>5.7629999999999999</v>
      </c>
      <c r="I6" s="748" t="s">
        <v>2001</v>
      </c>
      <c r="J6" s="747">
        <f>'Под. 1 и 2'!F118+'Под. 3'!F32+'Под. 4  и 5'!F60</f>
        <v>41001</v>
      </c>
      <c r="K6" s="357">
        <f>'Общ. счетчики'!G10+'Общ. счетчики'!G11+'Общ. счетчики'!G15+'Общ. счетчики'!G16+'Общ. счетчики'!G20+'Общ. счетчики'!G21</f>
        <v>42950</v>
      </c>
      <c r="L6" s="357">
        <f>'Общ. счетчики'!G8+'Общ. счетчики'!G9+'Общ. счетчики'!G13+'Общ. счетчики'!G14+'Общ. счетчики'!G18+'Общ. счетчики'!G19</f>
        <v>4960</v>
      </c>
    </row>
    <row r="7" spans="1:13" ht="21.75" customHeight="1" x14ac:dyDescent="0.2">
      <c r="A7" s="358" t="s">
        <v>1406</v>
      </c>
      <c r="B7" s="359" t="s">
        <v>1407</v>
      </c>
      <c r="C7" s="360" t="s">
        <v>1408</v>
      </c>
      <c r="D7" s="359"/>
      <c r="E7" s="572">
        <f>1667-F7</f>
        <v>1230.95</v>
      </c>
      <c r="F7" s="360">
        <f>135*3.23</f>
        <v>436.05</v>
      </c>
      <c r="G7" s="572">
        <v>113</v>
      </c>
      <c r="I7" s="748" t="s">
        <v>2002</v>
      </c>
      <c r="J7" s="357">
        <f>'корп. 3'!C8+'корп. 3'!C7</f>
        <v>8320</v>
      </c>
      <c r="K7" s="747">
        <f>'Общ. счетчики'!G50</f>
        <v>8320</v>
      </c>
      <c r="L7" s="747">
        <f>K7</f>
        <v>8320</v>
      </c>
    </row>
    <row r="8" spans="1:13" ht="12" customHeight="1" x14ac:dyDescent="0.2">
      <c r="A8" s="358" t="s">
        <v>1406</v>
      </c>
      <c r="B8" s="359" t="s">
        <v>1409</v>
      </c>
      <c r="C8" s="360" t="s">
        <v>1408</v>
      </c>
      <c r="D8" s="550">
        <v>263623</v>
      </c>
      <c r="E8" s="572">
        <f>2650-F8</f>
        <v>2065.4499999999998</v>
      </c>
      <c r="F8" s="360">
        <f>135*4.33</f>
        <v>584.54999999999995</v>
      </c>
      <c r="G8" s="572">
        <v>113</v>
      </c>
      <c r="H8" s="536"/>
      <c r="I8" s="748" t="s">
        <v>2003</v>
      </c>
      <c r="K8" s="749"/>
      <c r="L8" s="749"/>
    </row>
    <row r="9" spans="1:13" ht="12" customHeight="1" x14ac:dyDescent="0.2">
      <c r="A9" s="358" t="s">
        <v>1406</v>
      </c>
      <c r="B9" s="359" t="s">
        <v>1410</v>
      </c>
      <c r="C9" s="360" t="s">
        <v>1408</v>
      </c>
      <c r="D9" s="359"/>
      <c r="E9" s="459">
        <f>E7+E8</f>
        <v>3296.3999999999996</v>
      </c>
      <c r="F9" s="459">
        <f>F7+F8</f>
        <v>1020.5999999999999</v>
      </c>
      <c r="G9" s="572">
        <v>226</v>
      </c>
      <c r="I9" s="748" t="s">
        <v>2008</v>
      </c>
      <c r="J9" s="747">
        <f>J5+J6+J7</f>
        <v>94501</v>
      </c>
      <c r="K9" s="747">
        <f>K5+K6+K7+K8</f>
        <v>93950</v>
      </c>
      <c r="L9" s="747">
        <f>L5+L6+L7+L8</f>
        <v>16685</v>
      </c>
      <c r="M9" s="747">
        <f>'Нежелые помещения'!F29</f>
        <v>1160</v>
      </c>
    </row>
    <row r="10" spans="1:13" ht="12" customHeight="1" x14ac:dyDescent="0.2">
      <c r="A10" s="358" t="s">
        <v>1404</v>
      </c>
      <c r="B10" s="359" t="s">
        <v>1411</v>
      </c>
      <c r="C10" s="360" t="s">
        <v>1381</v>
      </c>
      <c r="D10" s="523"/>
      <c r="E10" s="524">
        <f>'Норматив ээ'!H20-F10</f>
        <v>93520</v>
      </c>
      <c r="F10" s="666">
        <f>Под.6!G202+'Под. 4  и 5'!G60+'Под. 3'!G32+'Под. 1 и 2'!G118</f>
        <v>1279</v>
      </c>
      <c r="G10" s="528">
        <f>24861.41-'Норматив ээ'!H22</f>
        <v>17345.41</v>
      </c>
      <c r="I10" s="748" t="s">
        <v>2004</v>
      </c>
      <c r="J10" s="750">
        <f>(K9+L9)-J9-M9</f>
        <v>14974</v>
      </c>
    </row>
    <row r="11" spans="1:13" ht="15" customHeight="1" x14ac:dyDescent="0.2">
      <c r="E11" s="741"/>
      <c r="F11"/>
      <c r="I11" s="748" t="s">
        <v>2005</v>
      </c>
      <c r="J11" s="751">
        <f>J10/'Норматив ээ'!C12</f>
        <v>0.39342625556679489</v>
      </c>
      <c r="K11" s="746" t="s">
        <v>2009</v>
      </c>
    </row>
    <row r="13" spans="1:13" ht="33" customHeight="1" x14ac:dyDescent="0.2">
      <c r="G13" s="526"/>
    </row>
    <row r="14" spans="1:13" ht="33" customHeight="1" x14ac:dyDescent="0.2">
      <c r="F14" s="357" t="s">
        <v>492</v>
      </c>
      <c r="G14" s="526"/>
    </row>
  </sheetData>
  <customSheetViews>
    <customSheetView guid="{59BB3A05-2517-4212-B4B0-766CE27362F6}" state="hidden">
      <selection activeCell="O14" sqref="O14"/>
      <pageMargins left="0.7" right="0.7" top="0.75" bottom="0.75" header="0.3" footer="0.3"/>
    </customSheetView>
    <customSheetView guid="{11E80AD0-6AA7-470D-8311-11AF96F196E5}" state="hidden">
      <selection activeCell="O14" sqref="O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view="pageBreakPreview" topLeftCell="A106" zoomScale="120" zoomScaleSheetLayoutView="120" workbookViewId="0">
      <selection activeCell="E36" sqref="E36"/>
    </sheetView>
  </sheetViews>
  <sheetFormatPr defaultRowHeight="12.75" x14ac:dyDescent="0.2"/>
  <cols>
    <col min="1" max="1" width="7.5703125" customWidth="1"/>
    <col min="2" max="2" width="23.140625" customWidth="1"/>
    <col min="3" max="3" width="16.85546875" customWidth="1"/>
    <col min="4" max="4" width="9.7109375" customWidth="1"/>
    <col min="5" max="5" width="11.140625" customWidth="1"/>
    <col min="6" max="6" width="11.85546875" customWidth="1"/>
    <col min="7" max="7" width="13.42578125" customWidth="1"/>
    <col min="8" max="8" width="0.28515625" hidden="1" customWidth="1"/>
    <col min="9" max="9" width="15.42578125" hidden="1" customWidth="1"/>
    <col min="10" max="10" width="0.42578125" customWidth="1"/>
    <col min="11" max="11" width="11.42578125" hidden="1" customWidth="1"/>
    <col min="12" max="12" width="0.140625" hidden="1" customWidth="1"/>
    <col min="13" max="13" width="12" customWidth="1"/>
  </cols>
  <sheetData>
    <row r="1" spans="1:9" x14ac:dyDescent="0.2">
      <c r="C1" s="811" t="s">
        <v>495</v>
      </c>
      <c r="D1" s="812"/>
      <c r="E1" s="812"/>
    </row>
    <row r="2" spans="1:9" ht="20.25" customHeight="1" thickBot="1" x14ac:dyDescent="0.25">
      <c r="A2" s="1" t="s">
        <v>496</v>
      </c>
      <c r="B2" s="1"/>
      <c r="C2" s="1"/>
      <c r="E2" s="813" t="s">
        <v>2035</v>
      </c>
      <c r="F2" s="813"/>
      <c r="H2" s="815"/>
      <c r="I2" s="815"/>
    </row>
    <row r="3" spans="1:9" ht="13.5" thickBot="1" x14ac:dyDescent="0.25">
      <c r="A3" s="816" t="s">
        <v>1116</v>
      </c>
      <c r="B3" s="814" t="s">
        <v>481</v>
      </c>
      <c r="C3" s="814" t="s">
        <v>1</v>
      </c>
      <c r="D3" s="814" t="s">
        <v>2</v>
      </c>
      <c r="E3" s="814"/>
      <c r="F3" s="814" t="s">
        <v>5</v>
      </c>
      <c r="H3" s="815"/>
      <c r="I3" s="815"/>
    </row>
    <row r="4" spans="1:9" ht="13.5" thickBot="1" x14ac:dyDescent="0.25">
      <c r="A4" s="817"/>
      <c r="B4" s="814"/>
      <c r="C4" s="814"/>
      <c r="D4" s="814"/>
      <c r="E4" s="814"/>
      <c r="F4" s="814"/>
      <c r="H4" s="815"/>
      <c r="I4" s="815"/>
    </row>
    <row r="5" spans="1:9" ht="13.5" thickBot="1" x14ac:dyDescent="0.25">
      <c r="A5" s="818"/>
      <c r="B5" s="819"/>
      <c r="C5" s="814"/>
      <c r="D5" s="109" t="s">
        <v>6</v>
      </c>
      <c r="E5" s="110" t="s">
        <v>7</v>
      </c>
      <c r="F5" s="814"/>
    </row>
    <row r="6" spans="1:9" ht="13.5" thickBot="1" x14ac:dyDescent="0.25">
      <c r="A6" s="221" t="s">
        <v>497</v>
      </c>
      <c r="B6" s="612" t="s">
        <v>1043</v>
      </c>
      <c r="C6" s="685" t="s">
        <v>1963</v>
      </c>
      <c r="D6" s="21">
        <v>2330</v>
      </c>
      <c r="E6" s="21">
        <v>2385</v>
      </c>
      <c r="F6" s="310">
        <f t="shared" ref="F6" si="0">E6-D6</f>
        <v>55</v>
      </c>
    </row>
    <row r="7" spans="1:9" ht="15" customHeight="1" thickBot="1" x14ac:dyDescent="0.25">
      <c r="A7" s="171" t="s">
        <v>499</v>
      </c>
      <c r="B7" s="613" t="s">
        <v>1044</v>
      </c>
      <c r="C7" s="589" t="s">
        <v>500</v>
      </c>
      <c r="D7" s="21">
        <v>24670</v>
      </c>
      <c r="E7" s="21">
        <v>24750</v>
      </c>
      <c r="F7" s="310">
        <f t="shared" ref="F7:F68" si="1">E7-D7</f>
        <v>80</v>
      </c>
      <c r="G7" s="32"/>
    </row>
    <row r="8" spans="1:9" ht="15" customHeight="1" thickBot="1" x14ac:dyDescent="0.25">
      <c r="A8" s="171" t="s">
        <v>501</v>
      </c>
      <c r="B8" s="614" t="s">
        <v>1045</v>
      </c>
      <c r="C8" s="590" t="s">
        <v>1707</v>
      </c>
      <c r="D8" s="21">
        <v>22475</v>
      </c>
      <c r="E8" s="21">
        <v>22735</v>
      </c>
      <c r="F8" s="310">
        <f t="shared" si="1"/>
        <v>260</v>
      </c>
      <c r="G8" s="294"/>
    </row>
    <row r="9" spans="1:9" ht="15" customHeight="1" thickBot="1" x14ac:dyDescent="0.25">
      <c r="A9" s="222" t="s">
        <v>502</v>
      </c>
      <c r="B9" s="613" t="s">
        <v>1046</v>
      </c>
      <c r="C9" s="591" t="s">
        <v>1626</v>
      </c>
      <c r="D9" s="151">
        <v>32810</v>
      </c>
      <c r="E9" s="151">
        <v>33135</v>
      </c>
      <c r="F9" s="310">
        <f t="shared" ref="F9" si="2">E9-D9</f>
        <v>325</v>
      </c>
      <c r="G9" s="32"/>
    </row>
    <row r="10" spans="1:9" ht="13.5" customHeight="1" thickBot="1" x14ac:dyDescent="0.25">
      <c r="A10" s="222" t="s">
        <v>503</v>
      </c>
      <c r="B10" s="614" t="s">
        <v>1751</v>
      </c>
      <c r="C10" s="592" t="s">
        <v>504</v>
      </c>
      <c r="D10" s="574"/>
      <c r="E10" s="574"/>
      <c r="F10" s="778">
        <v>0</v>
      </c>
      <c r="G10" s="574" t="s">
        <v>1578</v>
      </c>
    </row>
    <row r="11" spans="1:9" ht="12.75" customHeight="1" thickBot="1" x14ac:dyDescent="0.25">
      <c r="A11" s="223" t="s">
        <v>506</v>
      </c>
      <c r="B11" s="613" t="s">
        <v>1682</v>
      </c>
      <c r="C11" s="593" t="s">
        <v>979</v>
      </c>
      <c r="D11" s="151">
        <v>28135</v>
      </c>
      <c r="E11" s="151">
        <v>28265</v>
      </c>
      <c r="F11" s="310">
        <f t="shared" si="1"/>
        <v>130</v>
      </c>
      <c r="G11" s="159" t="s">
        <v>505</v>
      </c>
    </row>
    <row r="12" spans="1:9" ht="12.75" customHeight="1" thickBot="1" x14ac:dyDescent="0.25">
      <c r="A12" s="171" t="s">
        <v>507</v>
      </c>
      <c r="B12" s="715" t="s">
        <v>1047</v>
      </c>
      <c r="C12" s="594" t="s">
        <v>954</v>
      </c>
      <c r="D12" s="28">
        <v>21545</v>
      </c>
      <c r="E12" s="28">
        <v>21620</v>
      </c>
      <c r="F12" s="310">
        <f t="shared" si="1"/>
        <v>75</v>
      </c>
      <c r="G12" s="568"/>
    </row>
    <row r="13" spans="1:9" ht="13.5" customHeight="1" thickBot="1" x14ac:dyDescent="0.25">
      <c r="A13" s="171" t="s">
        <v>508</v>
      </c>
      <c r="B13" s="613" t="s">
        <v>1683</v>
      </c>
      <c r="C13" s="593" t="s">
        <v>1708</v>
      </c>
      <c r="D13" s="21">
        <v>37465</v>
      </c>
      <c r="E13" s="21">
        <v>38015</v>
      </c>
      <c r="F13" s="310">
        <f t="shared" si="1"/>
        <v>550</v>
      </c>
      <c r="G13" s="347"/>
    </row>
    <row r="14" spans="1:9" ht="13.5" customHeight="1" thickBot="1" x14ac:dyDescent="0.25">
      <c r="A14" s="537" t="s">
        <v>509</v>
      </c>
      <c r="B14" s="614" t="s">
        <v>1048</v>
      </c>
      <c r="C14" s="592" t="s">
        <v>1709</v>
      </c>
      <c r="D14" s="157">
        <v>23390</v>
      </c>
      <c r="E14" s="157">
        <v>23655</v>
      </c>
      <c r="F14" s="310">
        <f t="shared" si="1"/>
        <v>265</v>
      </c>
      <c r="G14" s="135" t="s">
        <v>510</v>
      </c>
    </row>
    <row r="15" spans="1:9" ht="15.75" customHeight="1" thickBot="1" x14ac:dyDescent="0.25">
      <c r="A15" s="283" t="s">
        <v>1356</v>
      </c>
      <c r="B15" s="615" t="s">
        <v>1049</v>
      </c>
      <c r="C15" s="595" t="s">
        <v>1336</v>
      </c>
      <c r="D15" s="158">
        <v>44500</v>
      </c>
      <c r="E15" s="158">
        <v>44860</v>
      </c>
      <c r="F15" s="310">
        <f t="shared" si="1"/>
        <v>360</v>
      </c>
      <c r="G15" s="284"/>
      <c r="H15" s="285"/>
    </row>
    <row r="16" spans="1:9" ht="13.5" customHeight="1" thickBot="1" x14ac:dyDescent="0.25">
      <c r="A16" s="286" t="s">
        <v>511</v>
      </c>
      <c r="B16" s="613" t="s">
        <v>1971</v>
      </c>
      <c r="C16" s="592" t="s">
        <v>512</v>
      </c>
      <c r="D16" s="372">
        <v>43960</v>
      </c>
      <c r="E16" s="372">
        <v>43995</v>
      </c>
      <c r="F16" s="310">
        <f t="shared" si="1"/>
        <v>35</v>
      </c>
      <c r="G16" s="111"/>
    </row>
    <row r="17" spans="1:13" ht="15" customHeight="1" thickBot="1" x14ac:dyDescent="0.25">
      <c r="A17" s="283" t="s">
        <v>513</v>
      </c>
      <c r="B17" s="614" t="s">
        <v>1684</v>
      </c>
      <c r="C17" s="596" t="s">
        <v>1710</v>
      </c>
      <c r="D17" s="275">
        <v>40295</v>
      </c>
      <c r="E17" s="275">
        <v>41100</v>
      </c>
      <c r="F17" s="310">
        <f t="shared" si="1"/>
        <v>805</v>
      </c>
      <c r="G17" s="371"/>
    </row>
    <row r="18" spans="1:13" ht="13.5" customHeight="1" thickBot="1" x14ac:dyDescent="0.25">
      <c r="A18" s="223" t="s">
        <v>514</v>
      </c>
      <c r="B18" s="613" t="s">
        <v>1050</v>
      </c>
      <c r="C18" s="597" t="s">
        <v>1711</v>
      </c>
      <c r="D18" s="22">
        <v>19255</v>
      </c>
      <c r="E18" s="22">
        <v>19820</v>
      </c>
      <c r="F18" s="310">
        <f t="shared" si="1"/>
        <v>565</v>
      </c>
      <c r="G18" s="135" t="s">
        <v>515</v>
      </c>
    </row>
    <row r="19" spans="1:13" ht="13.5" customHeight="1" thickBot="1" x14ac:dyDescent="0.25">
      <c r="A19" s="223" t="s">
        <v>516</v>
      </c>
      <c r="B19" s="614" t="s">
        <v>1051</v>
      </c>
      <c r="C19" s="598" t="s">
        <v>1619</v>
      </c>
      <c r="D19" s="21">
        <v>3270</v>
      </c>
      <c r="E19" s="21">
        <v>3325</v>
      </c>
      <c r="F19" s="310">
        <f t="shared" ref="F19" si="3">E19-D19</f>
        <v>55</v>
      </c>
      <c r="G19" s="585"/>
    </row>
    <row r="20" spans="1:13" ht="13.5" customHeight="1" thickBot="1" x14ac:dyDescent="0.25">
      <c r="A20" s="171" t="s">
        <v>517</v>
      </c>
      <c r="B20" s="613" t="s">
        <v>1052</v>
      </c>
      <c r="C20" s="590" t="s">
        <v>1712</v>
      </c>
      <c r="D20" s="21">
        <v>3270</v>
      </c>
      <c r="E20" s="21">
        <v>3310</v>
      </c>
      <c r="F20" s="310">
        <f t="shared" ref="F20" si="4">E20-D20</f>
        <v>40</v>
      </c>
      <c r="G20" s="124"/>
    </row>
    <row r="21" spans="1:13" ht="13.5" customHeight="1" thickBot="1" x14ac:dyDescent="0.25">
      <c r="A21" s="171" t="s">
        <v>518</v>
      </c>
      <c r="B21" s="613" t="s">
        <v>1685</v>
      </c>
      <c r="C21" s="598" t="s">
        <v>1583</v>
      </c>
      <c r="D21" s="21">
        <v>31295</v>
      </c>
      <c r="E21" s="21">
        <v>31455</v>
      </c>
      <c r="F21" s="310">
        <f t="shared" si="1"/>
        <v>160</v>
      </c>
      <c r="G21" s="518"/>
    </row>
    <row r="22" spans="1:13" ht="13.5" customHeight="1" thickBot="1" x14ac:dyDescent="0.25">
      <c r="A22" s="171" t="s">
        <v>519</v>
      </c>
      <c r="B22" s="614" t="s">
        <v>1686</v>
      </c>
      <c r="C22" s="597" t="s">
        <v>1535</v>
      </c>
      <c r="D22" s="22">
        <v>9465</v>
      </c>
      <c r="E22" s="22">
        <v>9605</v>
      </c>
      <c r="F22" s="310">
        <f t="shared" si="1"/>
        <v>140</v>
      </c>
      <c r="G22" s="458"/>
    </row>
    <row r="23" spans="1:13" ht="13.5" customHeight="1" thickBot="1" x14ac:dyDescent="0.25">
      <c r="A23" s="171" t="s">
        <v>521</v>
      </c>
      <c r="B23" s="631" t="s">
        <v>1053</v>
      </c>
      <c r="C23" s="706" t="s">
        <v>1980</v>
      </c>
      <c r="D23" s="22">
        <v>2310</v>
      </c>
      <c r="E23" s="22">
        <v>2640</v>
      </c>
      <c r="F23" s="310">
        <f t="shared" ref="F23" si="5">E23-D23</f>
        <v>330</v>
      </c>
      <c r="G23" s="124"/>
    </row>
    <row r="24" spans="1:13" ht="13.5" customHeight="1" thickBot="1" x14ac:dyDescent="0.25">
      <c r="A24" s="171" t="s">
        <v>522</v>
      </c>
      <c r="B24" s="614" t="s">
        <v>1687</v>
      </c>
      <c r="C24" s="597" t="s">
        <v>1536</v>
      </c>
      <c r="D24" s="22">
        <v>11555</v>
      </c>
      <c r="E24" s="22">
        <v>12020</v>
      </c>
      <c r="F24" s="310">
        <f t="shared" si="1"/>
        <v>465</v>
      </c>
      <c r="G24" s="111"/>
    </row>
    <row r="25" spans="1:13" ht="13.5" customHeight="1" thickBot="1" x14ac:dyDescent="0.25">
      <c r="A25" s="171" t="s">
        <v>523</v>
      </c>
      <c r="B25" s="613" t="s">
        <v>1054</v>
      </c>
      <c r="C25" s="598" t="s">
        <v>1713</v>
      </c>
      <c r="D25" s="22">
        <v>15670</v>
      </c>
      <c r="E25" s="22">
        <v>15790</v>
      </c>
      <c r="F25" s="310">
        <f t="shared" si="1"/>
        <v>120</v>
      </c>
      <c r="G25" s="349"/>
    </row>
    <row r="26" spans="1:13" ht="13.5" customHeight="1" thickBot="1" x14ac:dyDescent="0.25">
      <c r="A26" s="171" t="s">
        <v>524</v>
      </c>
      <c r="B26" s="614" t="s">
        <v>1688</v>
      </c>
      <c r="C26" s="597" t="s">
        <v>1533</v>
      </c>
      <c r="D26" s="22">
        <v>15540</v>
      </c>
      <c r="E26" s="22">
        <v>15775</v>
      </c>
      <c r="F26" s="310">
        <f t="shared" si="1"/>
        <v>235</v>
      </c>
      <c r="G26" s="238"/>
    </row>
    <row r="27" spans="1:13" ht="13.5" customHeight="1" thickBot="1" x14ac:dyDescent="0.25">
      <c r="A27" s="171" t="s">
        <v>526</v>
      </c>
      <c r="B27" s="613" t="s">
        <v>1086</v>
      </c>
      <c r="C27" s="598" t="s">
        <v>527</v>
      </c>
      <c r="D27" s="22">
        <v>51730</v>
      </c>
      <c r="E27" s="22">
        <v>51820</v>
      </c>
      <c r="F27" s="310">
        <f t="shared" si="1"/>
        <v>90</v>
      </c>
      <c r="G27" s="135" t="s">
        <v>531</v>
      </c>
    </row>
    <row r="28" spans="1:13" ht="13.5" customHeight="1" thickBot="1" x14ac:dyDescent="0.25">
      <c r="A28" s="171" t="s">
        <v>528</v>
      </c>
      <c r="B28" s="614" t="s">
        <v>1480</v>
      </c>
      <c r="C28" s="597" t="s">
        <v>1714</v>
      </c>
      <c r="D28" s="22">
        <v>13220</v>
      </c>
      <c r="E28" s="22">
        <v>13390</v>
      </c>
      <c r="F28" s="310">
        <f t="shared" si="1"/>
        <v>170</v>
      </c>
    </row>
    <row r="29" spans="1:13" ht="13.5" customHeight="1" thickBot="1" x14ac:dyDescent="0.25">
      <c r="A29" s="223" t="s">
        <v>529</v>
      </c>
      <c r="B29" s="613" t="s">
        <v>1055</v>
      </c>
      <c r="C29" s="598" t="s">
        <v>981</v>
      </c>
      <c r="D29" s="22">
        <v>74785</v>
      </c>
      <c r="E29" s="22">
        <v>74965</v>
      </c>
      <c r="F29" s="310">
        <f t="shared" si="1"/>
        <v>180</v>
      </c>
      <c r="G29" s="143" t="s">
        <v>982</v>
      </c>
    </row>
    <row r="30" spans="1:13" ht="13.5" customHeight="1" thickBot="1" x14ac:dyDescent="0.25">
      <c r="A30" s="223" t="s">
        <v>530</v>
      </c>
      <c r="B30" s="614" t="s">
        <v>1056</v>
      </c>
      <c r="C30" s="597" t="s">
        <v>1633</v>
      </c>
      <c r="D30" s="22">
        <v>10455</v>
      </c>
      <c r="E30" s="22">
        <v>10715</v>
      </c>
      <c r="F30" s="310">
        <f t="shared" ref="F30" si="6">E30-D30</f>
        <v>260</v>
      </c>
      <c r="G30" s="494"/>
      <c r="M30" s="494"/>
    </row>
    <row r="31" spans="1:13" ht="13.5" customHeight="1" thickBot="1" x14ac:dyDescent="0.25">
      <c r="A31" s="223" t="s">
        <v>532</v>
      </c>
      <c r="B31" s="613" t="s">
        <v>1057</v>
      </c>
      <c r="C31" s="598" t="s">
        <v>1674</v>
      </c>
      <c r="D31" s="22">
        <v>2645</v>
      </c>
      <c r="E31" s="22">
        <v>2825</v>
      </c>
      <c r="F31" s="310">
        <f t="shared" ref="F31" si="7">E31-D31</f>
        <v>180</v>
      </c>
      <c r="G31" s="113"/>
    </row>
    <row r="32" spans="1:13" ht="13.5" customHeight="1" thickBot="1" x14ac:dyDescent="0.25">
      <c r="A32" s="223" t="s">
        <v>533</v>
      </c>
      <c r="B32" s="614" t="s">
        <v>1686</v>
      </c>
      <c r="C32" s="598" t="s">
        <v>985</v>
      </c>
      <c r="D32" s="22">
        <v>27465</v>
      </c>
      <c r="E32" s="22">
        <v>27730</v>
      </c>
      <c r="F32" s="310">
        <f t="shared" si="1"/>
        <v>265</v>
      </c>
      <c r="G32" s="143" t="s">
        <v>986</v>
      </c>
    </row>
    <row r="33" spans="1:10" ht="13.5" customHeight="1" thickBot="1" x14ac:dyDescent="0.25">
      <c r="A33" s="223" t="s">
        <v>534</v>
      </c>
      <c r="B33" s="613" t="s">
        <v>1058</v>
      </c>
      <c r="C33" s="608" t="s">
        <v>2020</v>
      </c>
      <c r="D33" s="22">
        <v>1500</v>
      </c>
      <c r="E33" s="22">
        <v>1590</v>
      </c>
      <c r="F33" s="310">
        <f>E33-D33</f>
        <v>90</v>
      </c>
      <c r="G33" s="694"/>
    </row>
    <row r="34" spans="1:10" ht="13.5" customHeight="1" thickBot="1" x14ac:dyDescent="0.25">
      <c r="A34" s="171" t="s">
        <v>535</v>
      </c>
      <c r="B34" s="614" t="s">
        <v>1059</v>
      </c>
      <c r="C34" s="598" t="s">
        <v>1715</v>
      </c>
      <c r="D34" s="22">
        <v>52845</v>
      </c>
      <c r="E34" s="22">
        <v>53425</v>
      </c>
      <c r="F34" s="310">
        <f t="shared" si="1"/>
        <v>580</v>
      </c>
      <c r="G34" s="135" t="s">
        <v>536</v>
      </c>
    </row>
    <row r="35" spans="1:10" ht="13.5" customHeight="1" thickBot="1" x14ac:dyDescent="0.25">
      <c r="A35" s="223" t="s">
        <v>537</v>
      </c>
      <c r="B35" s="613" t="s">
        <v>1681</v>
      </c>
      <c r="C35" s="597" t="s">
        <v>538</v>
      </c>
      <c r="D35" s="22">
        <v>58660</v>
      </c>
      <c r="E35" s="22">
        <v>58830</v>
      </c>
      <c r="F35" s="310">
        <f t="shared" si="1"/>
        <v>170</v>
      </c>
      <c r="G35" s="117"/>
    </row>
    <row r="36" spans="1:10" ht="15.75" customHeight="1" thickBot="1" x14ac:dyDescent="0.25">
      <c r="A36" s="223" t="s">
        <v>539</v>
      </c>
      <c r="B36" s="614" t="s">
        <v>1060</v>
      </c>
      <c r="C36" s="598" t="s">
        <v>1716</v>
      </c>
      <c r="D36" s="22">
        <v>16125</v>
      </c>
      <c r="E36" s="22">
        <v>16255</v>
      </c>
      <c r="F36" s="310">
        <f t="shared" si="1"/>
        <v>130</v>
      </c>
      <c r="G36" s="314"/>
    </row>
    <row r="37" spans="1:10" ht="13.5" customHeight="1" thickBot="1" x14ac:dyDescent="0.25">
      <c r="A37" s="223" t="s">
        <v>540</v>
      </c>
      <c r="B37" s="613" t="s">
        <v>1061</v>
      </c>
      <c r="C37" s="597" t="s">
        <v>541</v>
      </c>
      <c r="D37" s="22">
        <v>39565</v>
      </c>
      <c r="E37" s="22">
        <v>39780</v>
      </c>
      <c r="F37" s="310">
        <f t="shared" si="1"/>
        <v>215</v>
      </c>
    </row>
    <row r="38" spans="1:10" ht="13.5" customHeight="1" thickBot="1" x14ac:dyDescent="0.25">
      <c r="A38" s="171" t="s">
        <v>542</v>
      </c>
      <c r="B38" s="614" t="s">
        <v>1062</v>
      </c>
      <c r="C38" s="599" t="s">
        <v>1717</v>
      </c>
      <c r="D38" s="22">
        <v>48330</v>
      </c>
      <c r="E38" s="22">
        <v>48790</v>
      </c>
      <c r="F38" s="310">
        <f t="shared" si="1"/>
        <v>460</v>
      </c>
      <c r="G38" s="135" t="s">
        <v>543</v>
      </c>
      <c r="H38" s="152"/>
    </row>
    <row r="39" spans="1:10" ht="19.5" customHeight="1" thickBot="1" x14ac:dyDescent="0.25">
      <c r="A39" s="223" t="s">
        <v>544</v>
      </c>
      <c r="B39" s="613" t="s">
        <v>1063</v>
      </c>
      <c r="C39" s="597" t="s">
        <v>980</v>
      </c>
      <c r="D39" s="275">
        <v>35265</v>
      </c>
      <c r="E39" s="275">
        <v>35805</v>
      </c>
      <c r="F39" s="310">
        <f t="shared" si="1"/>
        <v>540</v>
      </c>
      <c r="G39" s="321"/>
    </row>
    <row r="40" spans="1:10" ht="11.25" customHeight="1" thickBot="1" x14ac:dyDescent="0.25">
      <c r="A40" s="171" t="s">
        <v>545</v>
      </c>
      <c r="B40" s="613" t="s">
        <v>1689</v>
      </c>
      <c r="C40" s="589" t="s">
        <v>546</v>
      </c>
      <c r="D40" s="22">
        <v>32245</v>
      </c>
      <c r="E40" s="275">
        <v>32445</v>
      </c>
      <c r="F40" s="310">
        <f t="shared" si="1"/>
        <v>200</v>
      </c>
    </row>
    <row r="41" spans="1:10" ht="13.5" customHeight="1" thickBot="1" x14ac:dyDescent="0.25">
      <c r="A41" s="223" t="s">
        <v>547</v>
      </c>
      <c r="B41" s="614" t="s">
        <v>1064</v>
      </c>
      <c r="C41" s="600" t="s">
        <v>1718</v>
      </c>
      <c r="D41" s="22">
        <v>34580</v>
      </c>
      <c r="E41" s="275">
        <v>34900</v>
      </c>
      <c r="F41" s="310">
        <f t="shared" si="1"/>
        <v>320</v>
      </c>
    </row>
    <row r="42" spans="1:10" ht="13.5" customHeight="1" thickBot="1" x14ac:dyDescent="0.25">
      <c r="A42" s="171" t="s">
        <v>548</v>
      </c>
      <c r="B42" s="613" t="s">
        <v>1065</v>
      </c>
      <c r="C42" s="601" t="s">
        <v>549</v>
      </c>
      <c r="D42" s="275">
        <v>32405</v>
      </c>
      <c r="E42" s="275">
        <v>32475</v>
      </c>
      <c r="F42" s="310">
        <f t="shared" si="1"/>
        <v>70</v>
      </c>
      <c r="G42" s="135" t="s">
        <v>550</v>
      </c>
    </row>
    <row r="43" spans="1:10" ht="13.5" customHeight="1" thickBot="1" x14ac:dyDescent="0.25">
      <c r="A43" s="171" t="s">
        <v>551</v>
      </c>
      <c r="B43" s="614" t="s">
        <v>1066</v>
      </c>
      <c r="C43" s="600" t="s">
        <v>1664</v>
      </c>
      <c r="D43" s="22">
        <v>7795</v>
      </c>
      <c r="E43" s="22">
        <v>7865</v>
      </c>
      <c r="F43" s="310">
        <f t="shared" si="1"/>
        <v>70</v>
      </c>
      <c r="G43" s="577">
        <v>44125</v>
      </c>
    </row>
    <row r="44" spans="1:10" ht="13.5" customHeight="1" thickBot="1" x14ac:dyDescent="0.25">
      <c r="A44" s="171" t="s">
        <v>552</v>
      </c>
      <c r="B44" s="613" t="s">
        <v>1690</v>
      </c>
      <c r="C44" s="599" t="s">
        <v>1719</v>
      </c>
      <c r="D44" s="21">
        <v>37485</v>
      </c>
      <c r="E44" s="21">
        <v>37530</v>
      </c>
      <c r="F44" s="310">
        <f t="shared" si="1"/>
        <v>45</v>
      </c>
      <c r="G44" s="314"/>
    </row>
    <row r="45" spans="1:10" ht="13.5" customHeight="1" thickBot="1" x14ac:dyDescent="0.25">
      <c r="A45" s="171" t="s">
        <v>553</v>
      </c>
      <c r="B45" s="614" t="s">
        <v>1067</v>
      </c>
      <c r="C45" s="602" t="s">
        <v>1595</v>
      </c>
      <c r="D45" s="22">
        <v>28210</v>
      </c>
      <c r="E45" s="22">
        <v>28560</v>
      </c>
      <c r="F45" s="310">
        <f t="shared" si="1"/>
        <v>350</v>
      </c>
    </row>
    <row r="46" spans="1:10" ht="12.75" customHeight="1" thickBot="1" x14ac:dyDescent="0.25">
      <c r="A46" s="171" t="s">
        <v>554</v>
      </c>
      <c r="B46" s="613" t="s">
        <v>1068</v>
      </c>
      <c r="C46" s="589" t="s">
        <v>1720</v>
      </c>
      <c r="D46" s="22">
        <v>46385</v>
      </c>
      <c r="E46" s="22">
        <v>46870</v>
      </c>
      <c r="F46" s="310">
        <f t="shared" si="1"/>
        <v>485</v>
      </c>
      <c r="G46" s="309"/>
      <c r="J46" s="106"/>
    </row>
    <row r="47" spans="1:10" ht="13.5" customHeight="1" thickBot="1" x14ac:dyDescent="0.25">
      <c r="A47" s="223" t="s">
        <v>556</v>
      </c>
      <c r="B47" s="614" t="s">
        <v>1068</v>
      </c>
      <c r="C47" s="590" t="s">
        <v>992</v>
      </c>
      <c r="D47" s="22">
        <v>55995</v>
      </c>
      <c r="E47" s="22">
        <v>56410</v>
      </c>
      <c r="F47" s="310">
        <f t="shared" si="1"/>
        <v>415</v>
      </c>
      <c r="G47" s="587"/>
    </row>
    <row r="48" spans="1:10" ht="13.5" customHeight="1" thickBot="1" x14ac:dyDescent="0.25">
      <c r="A48" s="25" t="s">
        <v>557</v>
      </c>
      <c r="B48" s="613" t="s">
        <v>1691</v>
      </c>
      <c r="C48" s="589" t="s">
        <v>558</v>
      </c>
      <c r="D48" s="22">
        <v>43445</v>
      </c>
      <c r="E48" s="22">
        <v>43555</v>
      </c>
      <c r="F48" s="310">
        <f t="shared" si="1"/>
        <v>110</v>
      </c>
    </row>
    <row r="49" spans="1:13" ht="13.5" customHeight="1" thickBot="1" x14ac:dyDescent="0.25">
      <c r="A49" s="28" t="s">
        <v>559</v>
      </c>
      <c r="B49" s="614" t="s">
        <v>1069</v>
      </c>
      <c r="C49" s="602" t="s">
        <v>1721</v>
      </c>
      <c r="D49" s="157">
        <v>91950</v>
      </c>
      <c r="E49" s="157">
        <v>92130</v>
      </c>
      <c r="F49" s="310">
        <f t="shared" si="1"/>
        <v>180</v>
      </c>
    </row>
    <row r="50" spans="1:13" ht="13.5" customHeight="1" thickBot="1" x14ac:dyDescent="0.25">
      <c r="A50" s="25" t="s">
        <v>560</v>
      </c>
      <c r="B50" s="613" t="s">
        <v>1070</v>
      </c>
      <c r="C50" s="599" t="s">
        <v>1722</v>
      </c>
      <c r="D50" s="21">
        <v>85065</v>
      </c>
      <c r="E50" s="21">
        <v>85280</v>
      </c>
      <c r="F50" s="310">
        <f t="shared" si="1"/>
        <v>215</v>
      </c>
      <c r="G50" s="135" t="s">
        <v>561</v>
      </c>
    </row>
    <row r="51" spans="1:13" ht="13.5" customHeight="1" thickBot="1" x14ac:dyDescent="0.25">
      <c r="A51" s="28" t="s">
        <v>562</v>
      </c>
      <c r="B51" s="614" t="s">
        <v>1071</v>
      </c>
      <c r="C51" s="597" t="s">
        <v>1723</v>
      </c>
      <c r="D51" s="22">
        <v>11835</v>
      </c>
      <c r="E51" s="22">
        <v>11965</v>
      </c>
      <c r="F51" s="310">
        <f t="shared" si="1"/>
        <v>130</v>
      </c>
    </row>
    <row r="52" spans="1:13" ht="13.5" customHeight="1" thickBot="1" x14ac:dyDescent="0.25">
      <c r="A52" s="25" t="s">
        <v>563</v>
      </c>
      <c r="B52" s="613" t="s">
        <v>1692</v>
      </c>
      <c r="C52" s="598" t="s">
        <v>1724</v>
      </c>
      <c r="D52" s="22">
        <v>12725</v>
      </c>
      <c r="E52" s="22">
        <v>12890</v>
      </c>
      <c r="F52" s="310">
        <f t="shared" si="1"/>
        <v>165</v>
      </c>
      <c r="G52" s="347"/>
    </row>
    <row r="53" spans="1:13" ht="13.5" customHeight="1" thickBot="1" x14ac:dyDescent="0.25">
      <c r="A53" s="28" t="s">
        <v>564</v>
      </c>
      <c r="B53" s="614" t="s">
        <v>1072</v>
      </c>
      <c r="C53" s="597" t="s">
        <v>1725</v>
      </c>
      <c r="D53" s="22">
        <v>23135</v>
      </c>
      <c r="E53" s="22">
        <v>23275</v>
      </c>
      <c r="F53" s="310">
        <f t="shared" si="1"/>
        <v>140</v>
      </c>
    </row>
    <row r="54" spans="1:13" ht="13.5" customHeight="1" thickBot="1" x14ac:dyDescent="0.25">
      <c r="A54" s="25" t="s">
        <v>565</v>
      </c>
      <c r="B54" s="613" t="s">
        <v>1073</v>
      </c>
      <c r="C54" s="599" t="s">
        <v>1726</v>
      </c>
      <c r="D54" s="21">
        <v>14435</v>
      </c>
      <c r="E54" s="21">
        <v>14445</v>
      </c>
      <c r="F54" s="310">
        <f t="shared" si="1"/>
        <v>10</v>
      </c>
      <c r="G54" s="135" t="s">
        <v>566</v>
      </c>
    </row>
    <row r="55" spans="1:13" ht="13.5" customHeight="1" thickBot="1" x14ac:dyDescent="0.25">
      <c r="A55" s="25" t="s">
        <v>567</v>
      </c>
      <c r="B55" s="614" t="s">
        <v>1693</v>
      </c>
      <c r="C55" s="603" t="s">
        <v>568</v>
      </c>
      <c r="D55" s="22">
        <v>46250</v>
      </c>
      <c r="E55" s="22">
        <v>46345</v>
      </c>
      <c r="F55" s="310">
        <f t="shared" si="1"/>
        <v>95</v>
      </c>
    </row>
    <row r="56" spans="1:13" ht="12.95" customHeight="1" thickBot="1" x14ac:dyDescent="0.25">
      <c r="A56" s="221" t="s">
        <v>569</v>
      </c>
      <c r="B56" s="613" t="s">
        <v>1694</v>
      </c>
      <c r="C56" s="591" t="s">
        <v>1727</v>
      </c>
      <c r="D56" s="151">
        <v>13070</v>
      </c>
      <c r="E56" s="151">
        <v>13210</v>
      </c>
      <c r="F56" s="310">
        <f t="shared" si="1"/>
        <v>140</v>
      </c>
      <c r="G56" s="347"/>
    </row>
    <row r="57" spans="1:13" ht="12.95" customHeight="1" thickBot="1" x14ac:dyDescent="0.25">
      <c r="A57" s="222" t="s">
        <v>570</v>
      </c>
      <c r="B57" s="755" t="s">
        <v>1074</v>
      </c>
      <c r="C57" s="775">
        <v>23231089727</v>
      </c>
      <c r="D57" s="151">
        <v>3165</v>
      </c>
      <c r="E57" s="151">
        <v>3785</v>
      </c>
      <c r="F57" s="310">
        <f>E57-D57</f>
        <v>620</v>
      </c>
      <c r="G57" s="694"/>
      <c r="M57" s="309"/>
    </row>
    <row r="58" spans="1:13" ht="14.25" customHeight="1" thickBot="1" x14ac:dyDescent="0.25">
      <c r="A58" s="171" t="s">
        <v>571</v>
      </c>
      <c r="B58" s="613" t="s">
        <v>1695</v>
      </c>
      <c r="C58" s="593" t="s">
        <v>1728</v>
      </c>
      <c r="D58" s="157">
        <v>25335</v>
      </c>
      <c r="E58" s="157">
        <v>25610</v>
      </c>
      <c r="F58" s="310">
        <f t="shared" si="1"/>
        <v>275</v>
      </c>
      <c r="G58" s="284"/>
    </row>
    <row r="59" spans="1:13" ht="13.5" customHeight="1" thickBot="1" x14ac:dyDescent="0.25">
      <c r="A59" s="171" t="s">
        <v>1007</v>
      </c>
      <c r="B59" s="614" t="s">
        <v>1696</v>
      </c>
      <c r="C59" s="594" t="s">
        <v>1003</v>
      </c>
      <c r="D59" s="158">
        <v>24760</v>
      </c>
      <c r="E59" s="158">
        <v>24880</v>
      </c>
      <c r="F59" s="310">
        <f t="shared" si="1"/>
        <v>120</v>
      </c>
      <c r="G59" s="317" t="s">
        <v>1002</v>
      </c>
    </row>
    <row r="60" spans="1:13" ht="12.75" customHeight="1" thickBot="1" x14ac:dyDescent="0.25">
      <c r="A60" s="222" t="s">
        <v>572</v>
      </c>
      <c r="B60" s="613" t="s">
        <v>1075</v>
      </c>
      <c r="C60" s="591" t="s">
        <v>1729</v>
      </c>
      <c r="D60" s="151">
        <v>13300</v>
      </c>
      <c r="E60" s="151">
        <v>13300</v>
      </c>
      <c r="F60" s="310">
        <f t="shared" si="1"/>
        <v>0</v>
      </c>
      <c r="G60" s="341" t="s">
        <v>1362</v>
      </c>
    </row>
    <row r="61" spans="1:13" ht="12.75" customHeight="1" thickBot="1" x14ac:dyDescent="0.25">
      <c r="A61" s="171" t="s">
        <v>573</v>
      </c>
      <c r="B61" s="614" t="s">
        <v>1076</v>
      </c>
      <c r="C61" s="594" t="s">
        <v>574</v>
      </c>
      <c r="D61" s="22">
        <v>72765</v>
      </c>
      <c r="E61" s="22">
        <v>72840</v>
      </c>
      <c r="F61" s="310">
        <f t="shared" si="1"/>
        <v>75</v>
      </c>
    </row>
    <row r="62" spans="1:13" ht="12.95" customHeight="1" thickBot="1" x14ac:dyDescent="0.25">
      <c r="A62" s="171" t="s">
        <v>575</v>
      </c>
      <c r="B62" s="613" t="s">
        <v>1077</v>
      </c>
      <c r="C62" s="593" t="s">
        <v>1510</v>
      </c>
      <c r="D62" s="21">
        <v>16080</v>
      </c>
      <c r="E62" s="21">
        <v>16310</v>
      </c>
      <c r="F62" s="310">
        <f t="shared" si="1"/>
        <v>230</v>
      </c>
      <c r="G62" s="144" t="s">
        <v>1511</v>
      </c>
    </row>
    <row r="63" spans="1:13" ht="12.95" customHeight="1" thickBot="1" x14ac:dyDescent="0.25">
      <c r="A63" s="222" t="s">
        <v>576</v>
      </c>
      <c r="B63" s="614" t="s">
        <v>1078</v>
      </c>
      <c r="C63" s="604" t="s">
        <v>933</v>
      </c>
      <c r="D63" s="157">
        <v>2195</v>
      </c>
      <c r="E63" s="157">
        <v>2200</v>
      </c>
      <c r="F63" s="310">
        <f t="shared" si="1"/>
        <v>5</v>
      </c>
      <c r="G63" s="144" t="s">
        <v>941</v>
      </c>
    </row>
    <row r="64" spans="1:13" ht="12.95" customHeight="1" thickBot="1" x14ac:dyDescent="0.25">
      <c r="A64" s="223" t="s">
        <v>577</v>
      </c>
      <c r="B64" s="613" t="s">
        <v>1079</v>
      </c>
      <c r="C64" s="591" t="s">
        <v>578</v>
      </c>
      <c r="D64" s="157">
        <v>21415</v>
      </c>
      <c r="E64" s="157">
        <v>21440</v>
      </c>
      <c r="F64" s="310">
        <f t="shared" ref="F64" si="8">E64-D64</f>
        <v>25</v>
      </c>
    </row>
    <row r="65" spans="1:13" ht="12.95" customHeight="1" thickBot="1" x14ac:dyDescent="0.25">
      <c r="A65" s="223" t="s">
        <v>579</v>
      </c>
      <c r="B65" s="614" t="s">
        <v>1080</v>
      </c>
      <c r="C65" s="592" t="s">
        <v>1730</v>
      </c>
      <c r="D65" s="22">
        <v>72145</v>
      </c>
      <c r="E65" s="22">
        <v>72740</v>
      </c>
      <c r="F65" s="310">
        <f t="shared" si="1"/>
        <v>595</v>
      </c>
    </row>
    <row r="66" spans="1:13" ht="12" customHeight="1" thickBot="1" x14ac:dyDescent="0.25">
      <c r="A66" s="223" t="s">
        <v>580</v>
      </c>
      <c r="B66" s="613" t="s">
        <v>1697</v>
      </c>
      <c r="C66" s="605" t="s">
        <v>1731</v>
      </c>
      <c r="D66" s="22">
        <v>36105</v>
      </c>
      <c r="E66" s="22">
        <v>36465</v>
      </c>
      <c r="F66" s="310">
        <f t="shared" si="1"/>
        <v>360</v>
      </c>
      <c r="G66" s="313"/>
    </row>
    <row r="67" spans="1:13" ht="12.95" customHeight="1" thickBot="1" x14ac:dyDescent="0.25">
      <c r="A67" s="171" t="s">
        <v>581</v>
      </c>
      <c r="B67" s="614" t="s">
        <v>1698</v>
      </c>
      <c r="C67" s="602" t="s">
        <v>1732</v>
      </c>
      <c r="D67" s="151">
        <v>8810</v>
      </c>
      <c r="E67" s="151">
        <v>8895</v>
      </c>
      <c r="F67" s="310">
        <f t="shared" si="1"/>
        <v>85</v>
      </c>
    </row>
    <row r="68" spans="1:13" ht="12.95" customHeight="1" thickBot="1" x14ac:dyDescent="0.25">
      <c r="A68" s="171" t="s">
        <v>582</v>
      </c>
      <c r="B68" s="613" t="s">
        <v>1081</v>
      </c>
      <c r="C68" s="591" t="s">
        <v>1733</v>
      </c>
      <c r="D68" s="161">
        <v>30160</v>
      </c>
      <c r="E68" s="161">
        <v>30525</v>
      </c>
      <c r="F68" s="310">
        <f t="shared" si="1"/>
        <v>365</v>
      </c>
    </row>
    <row r="69" spans="1:13" ht="12.95" customHeight="1" thickBot="1" x14ac:dyDescent="0.25">
      <c r="A69" s="171" t="s">
        <v>583</v>
      </c>
      <c r="B69" s="614" t="s">
        <v>1082</v>
      </c>
      <c r="C69" s="597" t="s">
        <v>584</v>
      </c>
      <c r="D69" s="310">
        <v>57960</v>
      </c>
      <c r="E69" s="275">
        <v>58210</v>
      </c>
      <c r="F69" s="310">
        <f>E69-D69</f>
        <v>250</v>
      </c>
      <c r="G69" s="782"/>
      <c r="H69" s="115"/>
    </row>
    <row r="70" spans="1:13" ht="12.95" customHeight="1" thickBot="1" x14ac:dyDescent="0.25">
      <c r="A70" s="224" t="s">
        <v>585</v>
      </c>
      <c r="B70" s="613" t="s">
        <v>1083</v>
      </c>
      <c r="C70" s="589" t="s">
        <v>586</v>
      </c>
      <c r="D70" s="156">
        <v>90945</v>
      </c>
      <c r="E70" s="156">
        <v>91155</v>
      </c>
      <c r="F70" s="310">
        <f t="shared" ref="F70:F108" si="9">E70-D70</f>
        <v>210</v>
      </c>
      <c r="G70" s="135" t="s">
        <v>587</v>
      </c>
    </row>
    <row r="71" spans="1:13" ht="12.95" customHeight="1" thickBot="1" x14ac:dyDescent="0.25">
      <c r="A71" s="223" t="s">
        <v>588</v>
      </c>
      <c r="B71" s="614" t="s">
        <v>1699</v>
      </c>
      <c r="C71" s="590" t="s">
        <v>589</v>
      </c>
      <c r="D71" s="275">
        <v>38220</v>
      </c>
      <c r="E71" s="275">
        <v>38670</v>
      </c>
      <c r="F71" s="310">
        <f t="shared" si="9"/>
        <v>450</v>
      </c>
    </row>
    <row r="72" spans="1:13" ht="12.95" customHeight="1" thickBot="1" x14ac:dyDescent="0.25">
      <c r="A72" s="171" t="s">
        <v>590</v>
      </c>
      <c r="B72" s="613" t="s">
        <v>1084</v>
      </c>
      <c r="C72" s="591" t="s">
        <v>1734</v>
      </c>
      <c r="D72" s="22">
        <v>8050</v>
      </c>
      <c r="E72" s="22">
        <v>8305</v>
      </c>
      <c r="F72" s="310">
        <f t="shared" si="9"/>
        <v>255</v>
      </c>
      <c r="G72" s="348"/>
    </row>
    <row r="73" spans="1:13" ht="13.5" customHeight="1" thickBot="1" x14ac:dyDescent="0.25">
      <c r="A73" s="171" t="s">
        <v>591</v>
      </c>
      <c r="B73" s="614" t="s">
        <v>1085</v>
      </c>
      <c r="C73" s="590" t="s">
        <v>1735</v>
      </c>
      <c r="D73" s="22">
        <v>63060</v>
      </c>
      <c r="E73" s="22">
        <v>63330</v>
      </c>
      <c r="F73" s="310">
        <f t="shared" si="9"/>
        <v>270</v>
      </c>
      <c r="G73" s="314"/>
    </row>
    <row r="74" spans="1:13" ht="12.95" customHeight="1" thickBot="1" x14ac:dyDescent="0.25">
      <c r="A74" s="224" t="s">
        <v>592</v>
      </c>
      <c r="B74" s="613" t="s">
        <v>1086</v>
      </c>
      <c r="C74" s="598" t="s">
        <v>1630</v>
      </c>
      <c r="D74" s="154">
        <v>10425</v>
      </c>
      <c r="E74" s="154">
        <v>10640</v>
      </c>
      <c r="F74" s="567">
        <f t="shared" ref="F74" si="10">E74-D74</f>
        <v>215</v>
      </c>
      <c r="G74" s="137"/>
    </row>
    <row r="75" spans="1:13" ht="12.95" customHeight="1" thickBot="1" x14ac:dyDescent="0.25">
      <c r="A75" s="223" t="s">
        <v>593</v>
      </c>
      <c r="B75" s="614" t="s">
        <v>1087</v>
      </c>
      <c r="C75" s="597" t="s">
        <v>594</v>
      </c>
      <c r="D75" s="275">
        <v>375</v>
      </c>
      <c r="E75" s="275">
        <v>375</v>
      </c>
      <c r="F75" s="310">
        <f t="shared" si="9"/>
        <v>0</v>
      </c>
      <c r="G75" s="779">
        <v>275</v>
      </c>
      <c r="M75" s="586"/>
    </row>
    <row r="76" spans="1:13" ht="12.95" customHeight="1" thickBot="1" x14ac:dyDescent="0.25">
      <c r="A76" s="223" t="s">
        <v>595</v>
      </c>
      <c r="B76" s="613" t="s">
        <v>1088</v>
      </c>
      <c r="C76" s="598" t="s">
        <v>965</v>
      </c>
      <c r="D76" s="154">
        <v>28175</v>
      </c>
      <c r="E76" s="154">
        <v>28415</v>
      </c>
      <c r="F76" s="310">
        <f t="shared" si="9"/>
        <v>240</v>
      </c>
      <c r="G76" s="144" t="s">
        <v>1005</v>
      </c>
    </row>
    <row r="77" spans="1:13" ht="12.95" customHeight="1" thickBot="1" x14ac:dyDescent="0.25">
      <c r="A77" s="223" t="s">
        <v>596</v>
      </c>
      <c r="B77" s="614" t="s">
        <v>1089</v>
      </c>
      <c r="C77" s="597" t="s">
        <v>1620</v>
      </c>
      <c r="D77" s="22">
        <v>22870</v>
      </c>
      <c r="E77" s="22">
        <v>23395</v>
      </c>
      <c r="F77" s="310">
        <f t="shared" ref="F77" si="11">E77-D77</f>
        <v>525</v>
      </c>
      <c r="G77" s="544" t="s">
        <v>1621</v>
      </c>
    </row>
    <row r="78" spans="1:13" ht="12.95" customHeight="1" thickBot="1" x14ac:dyDescent="0.25">
      <c r="A78" s="223" t="s">
        <v>597</v>
      </c>
      <c r="B78" s="613" t="s">
        <v>1090</v>
      </c>
      <c r="C78" s="598" t="s">
        <v>971</v>
      </c>
      <c r="D78" s="22">
        <v>40875</v>
      </c>
      <c r="E78" s="22">
        <v>41270</v>
      </c>
      <c r="F78" s="310">
        <f t="shared" si="9"/>
        <v>395</v>
      </c>
      <c r="G78" s="144" t="s">
        <v>966</v>
      </c>
    </row>
    <row r="79" spans="1:13" ht="12.95" customHeight="1" thickBot="1" x14ac:dyDescent="0.25">
      <c r="A79" s="223" t="s">
        <v>598</v>
      </c>
      <c r="B79" s="614" t="s">
        <v>1091</v>
      </c>
      <c r="C79" s="597" t="s">
        <v>1736</v>
      </c>
      <c r="D79" s="22">
        <v>9020</v>
      </c>
      <c r="E79" s="22">
        <v>9115</v>
      </c>
      <c r="F79" s="310">
        <f t="shared" si="9"/>
        <v>95</v>
      </c>
      <c r="G79" s="456" t="s">
        <v>1456</v>
      </c>
    </row>
    <row r="80" spans="1:13" ht="12.95" customHeight="1" thickBot="1" x14ac:dyDescent="0.25">
      <c r="A80" s="223" t="s">
        <v>599</v>
      </c>
      <c r="B80" s="613" t="s">
        <v>1700</v>
      </c>
      <c r="C80" s="598" t="s">
        <v>600</v>
      </c>
      <c r="D80" s="161">
        <v>29885</v>
      </c>
      <c r="E80" s="161">
        <v>29995</v>
      </c>
      <c r="F80" s="310">
        <f t="shared" si="9"/>
        <v>110</v>
      </c>
    </row>
    <row r="81" spans="1:13" ht="12.95" customHeight="1" thickBot="1" x14ac:dyDescent="0.25">
      <c r="A81" s="223" t="s">
        <v>601</v>
      </c>
      <c r="B81" s="614" t="s">
        <v>1092</v>
      </c>
      <c r="C81" s="597" t="s">
        <v>1534</v>
      </c>
      <c r="D81" s="497">
        <v>12525</v>
      </c>
      <c r="E81" s="497">
        <v>12675</v>
      </c>
      <c r="F81" s="310">
        <f t="shared" si="9"/>
        <v>150</v>
      </c>
    </row>
    <row r="82" spans="1:13" ht="12.95" customHeight="1" thickBot="1" x14ac:dyDescent="0.25">
      <c r="A82" s="223" t="s">
        <v>602</v>
      </c>
      <c r="B82" s="613" t="s">
        <v>1093</v>
      </c>
      <c r="C82" s="596" t="s">
        <v>2021</v>
      </c>
      <c r="D82" s="497">
        <v>1855</v>
      </c>
      <c r="E82" s="497">
        <v>2210</v>
      </c>
      <c r="F82" s="310">
        <f>E82-D82</f>
        <v>355</v>
      </c>
      <c r="G82" s="694"/>
    </row>
    <row r="83" spans="1:13" ht="12.95" customHeight="1" thickBot="1" x14ac:dyDescent="0.25">
      <c r="A83" s="223" t="s">
        <v>603</v>
      </c>
      <c r="B83" s="614" t="s">
        <v>1094</v>
      </c>
      <c r="C83" s="597" t="s">
        <v>1737</v>
      </c>
      <c r="D83" s="22">
        <v>8215</v>
      </c>
      <c r="E83" s="22">
        <v>8225</v>
      </c>
      <c r="F83" s="310">
        <f t="shared" si="9"/>
        <v>10</v>
      </c>
      <c r="G83" s="135" t="s">
        <v>515</v>
      </c>
    </row>
    <row r="84" spans="1:13" ht="12.95" customHeight="1" thickBot="1" x14ac:dyDescent="0.25">
      <c r="A84" s="223" t="s">
        <v>604</v>
      </c>
      <c r="B84" s="613" t="s">
        <v>1095</v>
      </c>
      <c r="C84" s="598" t="s">
        <v>1738</v>
      </c>
      <c r="D84" s="22">
        <v>14370</v>
      </c>
      <c r="E84" s="22">
        <v>14635</v>
      </c>
      <c r="F84" s="310">
        <f t="shared" si="9"/>
        <v>265</v>
      </c>
      <c r="G84" s="116"/>
      <c r="H84" s="106"/>
    </row>
    <row r="85" spans="1:13" ht="12.95" customHeight="1" thickBot="1" x14ac:dyDescent="0.25">
      <c r="A85" s="223" t="s">
        <v>605</v>
      </c>
      <c r="B85" s="614" t="s">
        <v>1096</v>
      </c>
      <c r="C85" s="597" t="s">
        <v>1461</v>
      </c>
      <c r="D85" s="22">
        <v>10830</v>
      </c>
      <c r="E85" s="22">
        <v>10840</v>
      </c>
      <c r="F85" s="310">
        <f t="shared" si="9"/>
        <v>10</v>
      </c>
      <c r="G85" s="106"/>
      <c r="H85" s="106"/>
    </row>
    <row r="86" spans="1:13" ht="12.95" customHeight="1" thickBot="1" x14ac:dyDescent="0.25">
      <c r="A86" s="171" t="s">
        <v>606</v>
      </c>
      <c r="B86" s="613" t="s">
        <v>1701</v>
      </c>
      <c r="C86" s="598" t="s">
        <v>1739</v>
      </c>
      <c r="D86" s="22">
        <v>42180</v>
      </c>
      <c r="E86" s="22">
        <v>42355</v>
      </c>
      <c r="F86" s="310">
        <f t="shared" si="9"/>
        <v>175</v>
      </c>
      <c r="G86" s="135" t="s">
        <v>515</v>
      </c>
    </row>
    <row r="87" spans="1:13" ht="12.95" customHeight="1" thickBot="1" x14ac:dyDescent="0.25">
      <c r="A87" s="223" t="s">
        <v>607</v>
      </c>
      <c r="B87" s="614" t="s">
        <v>1702</v>
      </c>
      <c r="C87" s="597" t="s">
        <v>608</v>
      </c>
      <c r="D87" s="22">
        <v>36875</v>
      </c>
      <c r="E87" s="22">
        <v>37030</v>
      </c>
      <c r="F87" s="310">
        <f t="shared" si="9"/>
        <v>155</v>
      </c>
      <c r="G87" s="111"/>
    </row>
    <row r="88" spans="1:13" ht="12.95" customHeight="1" thickBot="1" x14ac:dyDescent="0.25">
      <c r="A88" s="171" t="s">
        <v>609</v>
      </c>
      <c r="B88" s="613" t="s">
        <v>1097</v>
      </c>
      <c r="C88" s="599" t="s">
        <v>610</v>
      </c>
      <c r="D88" s="22">
        <v>20365</v>
      </c>
      <c r="E88" s="22">
        <v>20785</v>
      </c>
      <c r="F88" s="310">
        <f t="shared" si="9"/>
        <v>420</v>
      </c>
      <c r="G88" s="111"/>
    </row>
    <row r="89" spans="1:13" ht="12.95" customHeight="1" thickBot="1" x14ac:dyDescent="0.25">
      <c r="A89" s="223" t="s">
        <v>611</v>
      </c>
      <c r="B89" s="614" t="s">
        <v>1098</v>
      </c>
      <c r="C89" s="600" t="s">
        <v>612</v>
      </c>
      <c r="D89" s="22">
        <v>70215</v>
      </c>
      <c r="E89" s="22">
        <v>70295</v>
      </c>
      <c r="F89" s="310">
        <f t="shared" si="9"/>
        <v>80</v>
      </c>
      <c r="G89" s="111"/>
    </row>
    <row r="90" spans="1:13" ht="14.25" customHeight="1" thickBot="1" x14ac:dyDescent="0.25">
      <c r="A90" s="223" t="s">
        <v>613</v>
      </c>
      <c r="B90" s="613" t="s">
        <v>1099</v>
      </c>
      <c r="C90" s="606" t="s">
        <v>999</v>
      </c>
      <c r="D90" s="22">
        <v>63415</v>
      </c>
      <c r="E90" s="22">
        <v>63515</v>
      </c>
      <c r="F90" s="310">
        <f t="shared" si="9"/>
        <v>100</v>
      </c>
      <c r="G90" s="321"/>
    </row>
    <row r="91" spans="1:13" ht="13.5" thickBot="1" x14ac:dyDescent="0.25">
      <c r="A91" s="223" t="s">
        <v>614</v>
      </c>
      <c r="B91" s="614" t="s">
        <v>1100</v>
      </c>
      <c r="C91" s="607" t="s">
        <v>990</v>
      </c>
      <c r="D91" s="22">
        <v>16270</v>
      </c>
      <c r="E91" s="22">
        <v>16595</v>
      </c>
      <c r="F91" s="310">
        <f t="shared" si="9"/>
        <v>325</v>
      </c>
      <c r="G91" s="145" t="s">
        <v>991</v>
      </c>
    </row>
    <row r="92" spans="1:13" s="296" customFormat="1" ht="14.25" customHeight="1" thickBot="1" x14ac:dyDescent="0.25">
      <c r="A92" s="283" t="s">
        <v>615</v>
      </c>
      <c r="B92" s="615" t="s">
        <v>1703</v>
      </c>
      <c r="C92" s="637" t="s">
        <v>1024</v>
      </c>
      <c r="D92" s="275">
        <v>13620</v>
      </c>
      <c r="E92" s="275">
        <v>13690</v>
      </c>
      <c r="F92" s="310">
        <f t="shared" si="9"/>
        <v>70</v>
      </c>
      <c r="G92" s="655"/>
      <c r="I92" s="687"/>
      <c r="M92" s="688"/>
    </row>
    <row r="93" spans="1:13" ht="14.25" customHeight="1" thickBot="1" x14ac:dyDescent="0.25">
      <c r="A93" s="28" t="s">
        <v>616</v>
      </c>
      <c r="B93" s="614" t="s">
        <v>1101</v>
      </c>
      <c r="C93" s="597" t="s">
        <v>1740</v>
      </c>
      <c r="D93" s="22">
        <v>740</v>
      </c>
      <c r="E93" s="22">
        <v>740</v>
      </c>
      <c r="F93" s="310">
        <f t="shared" si="9"/>
        <v>0</v>
      </c>
      <c r="G93" s="586" t="s">
        <v>1578</v>
      </c>
    </row>
    <row r="94" spans="1:13" s="153" customFormat="1" ht="12.95" customHeight="1" thickBot="1" x14ac:dyDescent="0.25">
      <c r="A94" s="223" t="s">
        <v>617</v>
      </c>
      <c r="B94" s="613" t="s">
        <v>1351</v>
      </c>
      <c r="C94" s="598" t="s">
        <v>1741</v>
      </c>
      <c r="D94" s="22">
        <v>40160</v>
      </c>
      <c r="E94" s="22">
        <v>40455</v>
      </c>
      <c r="F94" s="310">
        <f t="shared" si="9"/>
        <v>295</v>
      </c>
      <c r="G94" s="691"/>
    </row>
    <row r="95" spans="1:13" ht="12.95" customHeight="1" thickBot="1" x14ac:dyDescent="0.25">
      <c r="A95" s="223" t="s">
        <v>618</v>
      </c>
      <c r="B95" s="614" t="s">
        <v>1102</v>
      </c>
      <c r="C95" s="602" t="s">
        <v>1742</v>
      </c>
      <c r="D95" s="22">
        <v>17365</v>
      </c>
      <c r="E95" s="22">
        <v>17650</v>
      </c>
      <c r="F95" s="310">
        <f t="shared" si="9"/>
        <v>285</v>
      </c>
      <c r="G95" s="692"/>
    </row>
    <row r="96" spans="1:13" ht="12.95" customHeight="1" thickBot="1" x14ac:dyDescent="0.25">
      <c r="A96" s="171" t="s">
        <v>619</v>
      </c>
      <c r="B96" s="613" t="s">
        <v>1103</v>
      </c>
      <c r="C96" s="589" t="s">
        <v>620</v>
      </c>
      <c r="D96" s="275">
        <v>43015</v>
      </c>
      <c r="E96" s="275">
        <v>43015</v>
      </c>
      <c r="F96" s="310">
        <f t="shared" si="9"/>
        <v>0</v>
      </c>
      <c r="G96" s="693" t="s">
        <v>1967</v>
      </c>
    </row>
    <row r="97" spans="1:10" ht="15" customHeight="1" thickBot="1" x14ac:dyDescent="0.25">
      <c r="A97" s="283" t="s">
        <v>621</v>
      </c>
      <c r="B97" s="614" t="s">
        <v>1104</v>
      </c>
      <c r="C97" s="608" t="s">
        <v>1743</v>
      </c>
      <c r="D97" s="275">
        <v>26805</v>
      </c>
      <c r="E97" s="275">
        <v>27005</v>
      </c>
      <c r="F97" s="310">
        <f t="shared" si="9"/>
        <v>200</v>
      </c>
      <c r="G97" s="314" t="s">
        <v>1342</v>
      </c>
    </row>
    <row r="98" spans="1:10" ht="12.95" customHeight="1" thickBot="1" x14ac:dyDescent="0.25">
      <c r="A98" s="171" t="s">
        <v>622</v>
      </c>
      <c r="B98" s="613" t="s">
        <v>1704</v>
      </c>
      <c r="C98" s="589" t="s">
        <v>1625</v>
      </c>
      <c r="D98" s="157">
        <v>14070</v>
      </c>
      <c r="E98" s="157">
        <v>14220</v>
      </c>
      <c r="F98" s="310">
        <f t="shared" ref="F98" si="12">E98-D98</f>
        <v>150</v>
      </c>
      <c r="G98" s="540"/>
    </row>
    <row r="99" spans="1:10" ht="12.75" customHeight="1" thickBot="1" x14ac:dyDescent="0.25">
      <c r="A99" s="223" t="s">
        <v>623</v>
      </c>
      <c r="B99" s="614" t="s">
        <v>1705</v>
      </c>
      <c r="C99" s="602" t="s">
        <v>1744</v>
      </c>
      <c r="D99" s="157">
        <v>13690</v>
      </c>
      <c r="E99" s="157">
        <v>13930</v>
      </c>
      <c r="F99" s="310">
        <f t="shared" si="9"/>
        <v>240</v>
      </c>
      <c r="G99" s="311" t="s">
        <v>536</v>
      </c>
    </row>
    <row r="100" spans="1:10" ht="15" customHeight="1" thickBot="1" x14ac:dyDescent="0.25">
      <c r="A100" s="171" t="s">
        <v>624</v>
      </c>
      <c r="B100" s="613" t="s">
        <v>1677</v>
      </c>
      <c r="C100" s="599" t="s">
        <v>1679</v>
      </c>
      <c r="D100" s="157">
        <v>6295</v>
      </c>
      <c r="E100" s="157">
        <v>6555</v>
      </c>
      <c r="F100" s="310">
        <f t="shared" ref="F100" si="13">E100-D100</f>
        <v>260</v>
      </c>
      <c r="G100" s="587"/>
    </row>
    <row r="101" spans="1:10" ht="12.95" customHeight="1" thickBot="1" x14ac:dyDescent="0.25">
      <c r="A101" s="223" t="s">
        <v>625</v>
      </c>
      <c r="B101" s="614" t="s">
        <v>1105</v>
      </c>
      <c r="C101" s="597" t="s">
        <v>1473</v>
      </c>
      <c r="D101" s="164">
        <v>16680</v>
      </c>
      <c r="E101" s="164">
        <v>16945</v>
      </c>
      <c r="F101" s="310">
        <f t="shared" si="9"/>
        <v>265</v>
      </c>
      <c r="G101" s="106"/>
    </row>
    <row r="102" spans="1:10" ht="12.95" customHeight="1" thickBot="1" x14ac:dyDescent="0.25">
      <c r="A102" s="225" t="s">
        <v>626</v>
      </c>
      <c r="B102" s="613" t="s">
        <v>1106</v>
      </c>
      <c r="C102" s="609" t="s">
        <v>955</v>
      </c>
      <c r="D102" s="164">
        <v>55175</v>
      </c>
      <c r="E102" s="164">
        <v>55665</v>
      </c>
      <c r="F102" s="310">
        <f t="shared" si="9"/>
        <v>490</v>
      </c>
      <c r="G102" s="323"/>
    </row>
    <row r="103" spans="1:10" ht="12.95" customHeight="1" thickBot="1" x14ac:dyDescent="0.25">
      <c r="A103" s="223" t="s">
        <v>627</v>
      </c>
      <c r="B103" s="614" t="s">
        <v>263</v>
      </c>
      <c r="C103" s="597" t="s">
        <v>1745</v>
      </c>
      <c r="D103" s="22">
        <v>7085</v>
      </c>
      <c r="E103" s="22">
        <v>7090</v>
      </c>
      <c r="F103" s="310">
        <f t="shared" si="9"/>
        <v>5</v>
      </c>
      <c r="G103" s="347"/>
    </row>
    <row r="104" spans="1:10" ht="14.25" customHeight="1" thickBot="1" x14ac:dyDescent="0.25">
      <c r="A104" s="171" t="s">
        <v>628</v>
      </c>
      <c r="B104" s="613" t="s">
        <v>1366</v>
      </c>
      <c r="C104" s="599" t="s">
        <v>1746</v>
      </c>
      <c r="D104" s="21">
        <v>24610</v>
      </c>
      <c r="E104" s="21">
        <v>24725</v>
      </c>
      <c r="F104" s="310">
        <f t="shared" si="9"/>
        <v>115</v>
      </c>
      <c r="G104" s="314" t="s">
        <v>1363</v>
      </c>
    </row>
    <row r="105" spans="1:10" ht="12.95" customHeight="1" thickBot="1" x14ac:dyDescent="0.25">
      <c r="A105" s="171" t="s">
        <v>629</v>
      </c>
      <c r="B105" s="614" t="s">
        <v>1107</v>
      </c>
      <c r="C105" s="594" t="s">
        <v>630</v>
      </c>
      <c r="D105" s="22">
        <v>22230</v>
      </c>
      <c r="E105" s="22">
        <v>22320</v>
      </c>
      <c r="F105" s="310">
        <f t="shared" si="9"/>
        <v>90</v>
      </c>
    </row>
    <row r="106" spans="1:10" ht="14.1" customHeight="1" thickBot="1" x14ac:dyDescent="0.25">
      <c r="A106" s="221" t="s">
        <v>631</v>
      </c>
      <c r="B106" s="613" t="s">
        <v>1108</v>
      </c>
      <c r="C106" s="591" t="s">
        <v>632</v>
      </c>
      <c r="D106" s="21">
        <v>98760</v>
      </c>
      <c r="E106" s="21">
        <v>99430</v>
      </c>
      <c r="F106" s="310">
        <f t="shared" si="9"/>
        <v>670</v>
      </c>
      <c r="G106" s="159" t="s">
        <v>543</v>
      </c>
    </row>
    <row r="107" spans="1:10" ht="14.1" customHeight="1" thickBot="1" x14ac:dyDescent="0.25">
      <c r="A107" s="221" t="s">
        <v>633</v>
      </c>
      <c r="B107" s="614" t="s">
        <v>1109</v>
      </c>
      <c r="C107" s="590" t="s">
        <v>634</v>
      </c>
      <c r="D107" s="275">
        <v>11055</v>
      </c>
      <c r="E107" s="275">
        <v>11055</v>
      </c>
      <c r="F107" s="310">
        <f t="shared" si="9"/>
        <v>0</v>
      </c>
      <c r="G107" s="564" t="s">
        <v>1634</v>
      </c>
      <c r="J107" t="s">
        <v>1967</v>
      </c>
    </row>
    <row r="108" spans="1:10" ht="14.1" customHeight="1" thickBot="1" x14ac:dyDescent="0.25">
      <c r="A108" s="171" t="s">
        <v>635</v>
      </c>
      <c r="B108" s="613" t="s">
        <v>1110</v>
      </c>
      <c r="C108" s="599" t="s">
        <v>1747</v>
      </c>
      <c r="D108" s="21">
        <v>33890</v>
      </c>
      <c r="E108" s="21">
        <v>34220</v>
      </c>
      <c r="F108" s="310">
        <f t="shared" si="9"/>
        <v>330</v>
      </c>
      <c r="G108" s="32"/>
    </row>
    <row r="109" spans="1:10" ht="14.1" customHeight="1" thickBot="1" x14ac:dyDescent="0.25">
      <c r="A109" s="222" t="s">
        <v>636</v>
      </c>
      <c r="B109" s="614" t="s">
        <v>1111</v>
      </c>
      <c r="C109" s="590" t="s">
        <v>1604</v>
      </c>
      <c r="D109" s="151">
        <v>25475</v>
      </c>
      <c r="E109" s="151">
        <v>25985</v>
      </c>
      <c r="F109" s="310">
        <f t="shared" ref="F109" si="14">E109-D109</f>
        <v>510</v>
      </c>
      <c r="G109" s="34"/>
    </row>
    <row r="110" spans="1:10" ht="15.6" customHeight="1" thickBot="1" x14ac:dyDescent="0.25">
      <c r="A110" s="222" t="s">
        <v>637</v>
      </c>
      <c r="B110" s="613" t="s">
        <v>1112</v>
      </c>
      <c r="C110" s="610" t="s">
        <v>1654</v>
      </c>
      <c r="D110" s="151">
        <v>13810</v>
      </c>
      <c r="E110" s="151">
        <v>14055</v>
      </c>
      <c r="F110" s="310">
        <f t="shared" ref="F110" si="15">E110-D110</f>
        <v>245</v>
      </c>
      <c r="G110" s="569"/>
      <c r="J110" s="309"/>
    </row>
    <row r="111" spans="1:10" ht="14.25" customHeight="1" thickBot="1" x14ac:dyDescent="0.25">
      <c r="A111" s="171" t="s">
        <v>1357</v>
      </c>
      <c r="B111" s="614" t="s">
        <v>1752</v>
      </c>
      <c r="C111" s="594" t="s">
        <v>1748</v>
      </c>
      <c r="D111" s="20">
        <v>25625</v>
      </c>
      <c r="E111" s="20">
        <v>25765</v>
      </c>
      <c r="F111" s="310">
        <f t="shared" ref="F111:F117" si="16">E111-D111</f>
        <v>140</v>
      </c>
      <c r="G111" s="284" t="s">
        <v>1353</v>
      </c>
    </row>
    <row r="112" spans="1:10" ht="16.5" customHeight="1" thickBot="1" x14ac:dyDescent="0.25">
      <c r="A112" s="223" t="s">
        <v>638</v>
      </c>
      <c r="B112" s="613" t="s">
        <v>1113</v>
      </c>
      <c r="C112" s="593" t="s">
        <v>1749</v>
      </c>
      <c r="D112" s="22">
        <v>18035</v>
      </c>
      <c r="E112" s="22">
        <v>18200</v>
      </c>
      <c r="F112" s="310">
        <f t="shared" si="16"/>
        <v>165</v>
      </c>
      <c r="G112" s="32"/>
    </row>
    <row r="113" spans="1:7" ht="14.1" customHeight="1" thickBot="1" x14ac:dyDescent="0.25">
      <c r="A113" s="222" t="s">
        <v>639</v>
      </c>
      <c r="B113" s="613" t="s">
        <v>1114</v>
      </c>
      <c r="C113" s="592" t="s">
        <v>640</v>
      </c>
      <c r="D113" s="151">
        <v>59270</v>
      </c>
      <c r="E113" s="151">
        <v>59590</v>
      </c>
      <c r="F113" s="310">
        <f>E113-D113</f>
        <v>320</v>
      </c>
      <c r="G113" s="159" t="s">
        <v>555</v>
      </c>
    </row>
    <row r="114" spans="1:7" ht="14.1" customHeight="1" thickBot="1" x14ac:dyDescent="0.25">
      <c r="A114" s="171" t="s">
        <v>641</v>
      </c>
      <c r="B114" s="614" t="s">
        <v>1706</v>
      </c>
      <c r="C114" s="593" t="s">
        <v>1750</v>
      </c>
      <c r="D114" s="574">
        <v>17380</v>
      </c>
      <c r="E114" s="574">
        <v>17485</v>
      </c>
      <c r="F114" s="310">
        <f t="shared" si="16"/>
        <v>105</v>
      </c>
      <c r="G114" s="32"/>
    </row>
    <row r="115" spans="1:7" ht="14.1" customHeight="1" thickBot="1" x14ac:dyDescent="0.25">
      <c r="A115" s="223" t="s">
        <v>642</v>
      </c>
      <c r="B115" s="613" t="s">
        <v>1115</v>
      </c>
      <c r="C115" s="592" t="s">
        <v>643</v>
      </c>
      <c r="D115" s="275">
        <v>50435</v>
      </c>
      <c r="E115" s="275">
        <v>50615</v>
      </c>
      <c r="F115" s="310">
        <f t="shared" si="16"/>
        <v>180</v>
      </c>
      <c r="G115" s="440"/>
    </row>
    <row r="116" spans="1:7" ht="14.25" customHeight="1" thickBot="1" x14ac:dyDescent="0.25">
      <c r="A116" s="588" t="s">
        <v>644</v>
      </c>
      <c r="B116" s="616" t="s">
        <v>2013</v>
      </c>
      <c r="C116" s="595" t="s">
        <v>645</v>
      </c>
      <c r="D116" s="275">
        <v>21585</v>
      </c>
      <c r="E116" s="275">
        <v>21730</v>
      </c>
      <c r="F116" s="310">
        <f t="shared" si="16"/>
        <v>145</v>
      </c>
      <c r="G116" s="32"/>
    </row>
    <row r="117" spans="1:7" ht="14.1" customHeight="1" thickBot="1" x14ac:dyDescent="0.25">
      <c r="A117" s="221" t="s">
        <v>646</v>
      </c>
      <c r="B117" s="613" t="s">
        <v>1117</v>
      </c>
      <c r="C117" s="611" t="s">
        <v>645</v>
      </c>
      <c r="D117" s="151">
        <v>9715</v>
      </c>
      <c r="E117" s="151">
        <v>9785</v>
      </c>
      <c r="F117" s="310">
        <f t="shared" si="16"/>
        <v>70</v>
      </c>
      <c r="G117" s="355"/>
    </row>
    <row r="118" spans="1:7" ht="18" customHeight="1" thickBot="1" x14ac:dyDescent="0.25">
      <c r="A118" s="24"/>
      <c r="B118" s="141"/>
      <c r="C118" s="21"/>
      <c r="D118" s="21"/>
      <c r="E118" s="21" t="s">
        <v>1010</v>
      </c>
      <c r="F118" s="464">
        <f>SUM(F6:F117)-G118</f>
        <v>24430</v>
      </c>
      <c r="G118" s="503">
        <f>F10+F69</f>
        <v>250</v>
      </c>
    </row>
    <row r="119" spans="1:7" ht="27" customHeight="1" thickBot="1" x14ac:dyDescent="0.25">
      <c r="A119" s="176"/>
      <c r="B119" s="579" t="s">
        <v>1033</v>
      </c>
      <c r="C119" s="578"/>
      <c r="D119" s="452">
        <f>SUM('Общ. счетчики'!G10:G11)</f>
        <v>25280</v>
      </c>
      <c r="E119" s="316" t="s">
        <v>492</v>
      </c>
      <c r="G119" s="12"/>
    </row>
  </sheetData>
  <autoFilter ref="F1:F119"/>
  <customSheetViews>
    <customSheetView guid="{59BB3A05-2517-4212-B4B0-766CE27362F6}" scale="120" showPageBreaks="1" fitToPage="1" printArea="1" showAutoFilter="1" hiddenColumns="1" state="hidden" view="pageBreakPreview" topLeftCell="A106">
      <selection activeCell="E36" sqref="E3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1"/>
      <headerFooter alignWithMargins="0"/>
      <autoFilter ref="F1:F119"/>
    </customSheetView>
    <customSheetView guid="{11E80AD0-6AA7-470D-8311-11AF96F196E5}" scale="120" showPageBreaks="1" fitToPage="1" printArea="1" hiddenColumns="1" view="pageBreakPreview" topLeftCell="A115">
      <selection activeCell="F49" sqref="F49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2"/>
      <headerFooter alignWithMargins="0"/>
    </customSheetView>
    <customSheetView guid="{1298D0A2-0CF6-434E-A6CD-B210E2963ADD}" scale="120" showPageBreaks="1" fitToPage="1" printArea="1" hiddenColumns="1" view="pageBreakPreview" topLeftCell="A105">
      <selection activeCell="G116" sqref="G11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3"/>
      <headerFooter alignWithMargins="0"/>
    </customSheetView>
  </customSheetViews>
  <mergeCells count="8">
    <mergeCell ref="C1:E1"/>
    <mergeCell ref="E2:F2"/>
    <mergeCell ref="F3:F5"/>
    <mergeCell ref="H2:I4"/>
    <mergeCell ref="A3:A5"/>
    <mergeCell ref="B3:B5"/>
    <mergeCell ref="C3:C5"/>
    <mergeCell ref="D3:E4"/>
  </mergeCells>
  <phoneticPr fontId="11" type="noConversion"/>
  <pageMargins left="0.25" right="0.25" top="0.75" bottom="0.75" header="0.3" footer="0.3"/>
  <pageSetup paperSize="9" fitToHeight="0" orientation="portrait" r:id="rId4"/>
  <headerFooter alignWithMargins="0"/>
  <rowBreaks count="2" manualBreakCount="2">
    <brk id="53" max="6" man="1"/>
    <brk id="118" max="6" man="1"/>
  </rowBreaks>
  <colBreaks count="1" manualBreakCount="1">
    <brk id="5" max="119" man="1"/>
  </colBreaks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view="pageBreakPreview" topLeftCell="A13" zoomScale="120" zoomScaleSheetLayoutView="120" workbookViewId="0">
      <selection activeCell="C26" sqref="C26"/>
    </sheetView>
  </sheetViews>
  <sheetFormatPr defaultRowHeight="12.75" x14ac:dyDescent="0.2"/>
  <cols>
    <col min="1" max="1" width="8.140625" customWidth="1"/>
    <col min="2" max="2" width="22.5703125" customWidth="1"/>
    <col min="3" max="3" width="14.7109375" customWidth="1"/>
    <col min="4" max="4" width="12.140625" customWidth="1"/>
    <col min="5" max="5" width="11.7109375" customWidth="1"/>
    <col min="6" max="6" width="10.140625" customWidth="1"/>
    <col min="7" max="7" width="13.5703125" customWidth="1"/>
    <col min="8" max="8" width="9.140625" hidden="1" customWidth="1"/>
  </cols>
  <sheetData>
    <row r="1" spans="1:8" x14ac:dyDescent="0.2">
      <c r="C1" s="811" t="s">
        <v>647</v>
      </c>
      <c r="D1" s="824"/>
    </row>
    <row r="2" spans="1:8" x14ac:dyDescent="0.2">
      <c r="C2" s="104"/>
      <c r="D2" s="105"/>
      <c r="E2" s="825" t="s">
        <v>2035</v>
      </c>
      <c r="F2" s="825"/>
    </row>
    <row r="3" spans="1:8" ht="13.5" thickBot="1" x14ac:dyDescent="0.25">
      <c r="A3" s="826" t="s">
        <v>648</v>
      </c>
      <c r="B3" s="826"/>
      <c r="C3" s="2"/>
      <c r="F3" s="2"/>
    </row>
    <row r="4" spans="1:8" ht="13.5" thickBot="1" x14ac:dyDescent="0.25">
      <c r="A4" s="816" t="s">
        <v>1116</v>
      </c>
      <c r="B4" s="814" t="s">
        <v>481</v>
      </c>
      <c r="C4" s="814" t="s">
        <v>1</v>
      </c>
      <c r="D4" s="814" t="s">
        <v>2</v>
      </c>
      <c r="E4" s="814"/>
      <c r="F4" s="814" t="s">
        <v>5</v>
      </c>
    </row>
    <row r="5" spans="1:8" ht="13.5" thickBot="1" x14ac:dyDescent="0.25">
      <c r="A5" s="817"/>
      <c r="B5" s="814"/>
      <c r="C5" s="814"/>
      <c r="D5" s="814"/>
      <c r="E5" s="814"/>
      <c r="F5" s="814"/>
    </row>
    <row r="6" spans="1:8" ht="13.5" thickBot="1" x14ac:dyDescent="0.25">
      <c r="A6" s="818"/>
      <c r="B6" s="814"/>
      <c r="C6" s="814"/>
      <c r="D6" s="109" t="s">
        <v>6</v>
      </c>
      <c r="E6" s="110" t="s">
        <v>7</v>
      </c>
      <c r="F6" s="814"/>
    </row>
    <row r="7" spans="1:8" ht="15" customHeight="1" thickBot="1" x14ac:dyDescent="0.25">
      <c r="A7" s="141" t="s">
        <v>649</v>
      </c>
      <c r="B7" s="617" t="s">
        <v>1753</v>
      </c>
      <c r="C7" s="621" t="s">
        <v>1755</v>
      </c>
      <c r="D7" s="275">
        <v>15080</v>
      </c>
      <c r="E7" s="275">
        <v>15205</v>
      </c>
      <c r="F7" s="310">
        <f>E7-D7</f>
        <v>125</v>
      </c>
      <c r="G7" s="135" t="s">
        <v>498</v>
      </c>
    </row>
    <row r="8" spans="1:8" ht="15" customHeight="1" thickBot="1" x14ac:dyDescent="0.25">
      <c r="A8" s="171" t="s">
        <v>650</v>
      </c>
      <c r="B8" s="613" t="s">
        <v>1154</v>
      </c>
      <c r="C8" s="697" t="s">
        <v>1968</v>
      </c>
      <c r="D8" s="22">
        <v>1275</v>
      </c>
      <c r="E8" s="22">
        <v>1330</v>
      </c>
      <c r="F8" s="567">
        <f t="shared" ref="F8" si="0">E8-D8</f>
        <v>55</v>
      </c>
      <c r="G8" s="494"/>
    </row>
    <row r="9" spans="1:8" ht="17.25" customHeight="1" thickBot="1" x14ac:dyDescent="0.25">
      <c r="A9" s="695" t="s">
        <v>651</v>
      </c>
      <c r="B9" s="619" t="s">
        <v>1155</v>
      </c>
      <c r="C9" s="696" t="s">
        <v>987</v>
      </c>
      <c r="D9" s="372">
        <v>16340</v>
      </c>
      <c r="E9" s="372">
        <v>16495</v>
      </c>
      <c r="F9" s="567">
        <f t="shared" ref="F9:F31" si="1">E9-D9</f>
        <v>155</v>
      </c>
      <c r="G9" s="312"/>
    </row>
    <row r="10" spans="1:8" ht="15" customHeight="1" thickBot="1" x14ac:dyDescent="0.25">
      <c r="A10" s="165" t="s">
        <v>652</v>
      </c>
      <c r="B10" s="613" t="s">
        <v>1156</v>
      </c>
      <c r="C10" s="594" t="s">
        <v>1756</v>
      </c>
      <c r="D10" s="22">
        <v>15710</v>
      </c>
      <c r="E10" s="22">
        <v>15925</v>
      </c>
      <c r="F10" s="310">
        <f t="shared" si="1"/>
        <v>215</v>
      </c>
      <c r="G10" s="117"/>
      <c r="H10" s="296"/>
    </row>
    <row r="11" spans="1:8" ht="15" customHeight="1" thickBot="1" x14ac:dyDescent="0.25">
      <c r="A11" s="165" t="s">
        <v>653</v>
      </c>
      <c r="B11" s="619" t="s">
        <v>1157</v>
      </c>
      <c r="C11" s="593" t="s">
        <v>1537</v>
      </c>
      <c r="D11" s="22">
        <v>1100</v>
      </c>
      <c r="E11" s="22">
        <v>1105</v>
      </c>
      <c r="F11" s="310">
        <f t="shared" si="1"/>
        <v>5</v>
      </c>
      <c r="G11" s="322"/>
    </row>
    <row r="12" spans="1:8" ht="15" customHeight="1" thickBot="1" x14ac:dyDescent="0.25">
      <c r="A12" s="165" t="s">
        <v>654</v>
      </c>
      <c r="B12" s="613" t="s">
        <v>1158</v>
      </c>
      <c r="C12" s="594" t="s">
        <v>1023</v>
      </c>
      <c r="D12" s="22">
        <v>30200</v>
      </c>
      <c r="E12" s="22">
        <v>30320</v>
      </c>
      <c r="F12" s="310">
        <f t="shared" si="1"/>
        <v>120</v>
      </c>
      <c r="G12" s="312"/>
    </row>
    <row r="13" spans="1:8" ht="18" customHeight="1" thickBot="1" x14ac:dyDescent="0.25">
      <c r="A13" s="165" t="s">
        <v>655</v>
      </c>
      <c r="B13" s="613" t="s">
        <v>1159</v>
      </c>
      <c r="C13" s="591" t="s">
        <v>2026</v>
      </c>
      <c r="D13" s="22">
        <v>300</v>
      </c>
      <c r="E13" s="22">
        <v>545</v>
      </c>
      <c r="F13" s="310">
        <f>E13-D13</f>
        <v>245</v>
      </c>
      <c r="G13" s="494"/>
      <c r="H13" s="210"/>
    </row>
    <row r="14" spans="1:8" ht="15" customHeight="1" thickBot="1" x14ac:dyDescent="0.25">
      <c r="A14" s="23" t="s">
        <v>656</v>
      </c>
      <c r="B14" s="689" t="s">
        <v>1160</v>
      </c>
      <c r="C14" s="603" t="s">
        <v>1757</v>
      </c>
      <c r="D14" s="22">
        <v>20935</v>
      </c>
      <c r="E14" s="22">
        <v>21455</v>
      </c>
      <c r="F14" s="310">
        <f t="shared" si="1"/>
        <v>520</v>
      </c>
      <c r="G14" s="294"/>
    </row>
    <row r="15" spans="1:8" ht="15" customHeight="1" thickBot="1" x14ac:dyDescent="0.25">
      <c r="A15" s="149" t="s">
        <v>657</v>
      </c>
      <c r="B15" s="613" t="s">
        <v>1161</v>
      </c>
      <c r="C15" s="627" t="s">
        <v>1964</v>
      </c>
      <c r="D15" s="22">
        <v>6695</v>
      </c>
      <c r="E15" s="22">
        <v>6945</v>
      </c>
      <c r="F15" s="310">
        <f t="shared" ref="F15" si="2">E15-D15</f>
        <v>250</v>
      </c>
      <c r="G15" s="294"/>
    </row>
    <row r="16" spans="1:8" s="118" customFormat="1" ht="21.75" customHeight="1" thickBot="1" x14ac:dyDescent="0.25">
      <c r="A16" s="141" t="s">
        <v>658</v>
      </c>
      <c r="B16" s="613" t="s">
        <v>1162</v>
      </c>
      <c r="C16" s="592" t="s">
        <v>659</v>
      </c>
      <c r="D16" s="275">
        <v>79345</v>
      </c>
      <c r="E16" s="275">
        <v>79505</v>
      </c>
      <c r="F16" s="310">
        <f t="shared" si="1"/>
        <v>160</v>
      </c>
      <c r="G16" s="135" t="s">
        <v>510</v>
      </c>
    </row>
    <row r="17" spans="1:17" ht="15" customHeight="1" thickBot="1" x14ac:dyDescent="0.25">
      <c r="A17" s="141" t="s">
        <v>660</v>
      </c>
      <c r="B17" s="619" t="s">
        <v>1163</v>
      </c>
      <c r="C17" s="589" t="s">
        <v>661</v>
      </c>
      <c r="D17" s="21">
        <v>45650</v>
      </c>
      <c r="E17" s="21">
        <v>46085</v>
      </c>
      <c r="F17" s="310">
        <f t="shared" si="1"/>
        <v>435</v>
      </c>
    </row>
    <row r="18" spans="1:17" ht="15.75" customHeight="1" thickBot="1" x14ac:dyDescent="0.25">
      <c r="A18" s="23" t="s">
        <v>662</v>
      </c>
      <c r="B18" s="613" t="s">
        <v>1164</v>
      </c>
      <c r="C18" s="597" t="s">
        <v>1758</v>
      </c>
      <c r="D18" s="22">
        <v>17275</v>
      </c>
      <c r="E18" s="22">
        <v>17460</v>
      </c>
      <c r="F18" s="310">
        <f t="shared" si="1"/>
        <v>185</v>
      </c>
      <c r="G18" s="308"/>
    </row>
    <row r="19" spans="1:17" ht="15" customHeight="1" thickBot="1" x14ac:dyDescent="0.25">
      <c r="A19" s="168" t="s">
        <v>663</v>
      </c>
      <c r="B19" s="619" t="s">
        <v>1165</v>
      </c>
      <c r="C19" s="589" t="s">
        <v>1759</v>
      </c>
      <c r="D19" s="151">
        <v>163910</v>
      </c>
      <c r="E19" s="151">
        <v>164075</v>
      </c>
      <c r="F19" s="310">
        <f t="shared" si="1"/>
        <v>165</v>
      </c>
      <c r="G19" s="112"/>
    </row>
    <row r="20" spans="1:17" ht="15" customHeight="1" thickBot="1" x14ac:dyDescent="0.25">
      <c r="A20" s="23" t="s">
        <v>664</v>
      </c>
      <c r="B20" s="613" t="s">
        <v>1166</v>
      </c>
      <c r="C20" s="590" t="s">
        <v>1760</v>
      </c>
      <c r="D20" s="25">
        <v>6350</v>
      </c>
      <c r="E20" s="25">
        <v>6365</v>
      </c>
      <c r="F20" s="310">
        <f t="shared" si="1"/>
        <v>15</v>
      </c>
      <c r="G20" s="126"/>
    </row>
    <row r="21" spans="1:17" ht="15" customHeight="1" thickBot="1" x14ac:dyDescent="0.25">
      <c r="A21" s="23" t="s">
        <v>665</v>
      </c>
      <c r="B21" s="619" t="s">
        <v>294</v>
      </c>
      <c r="C21" s="589" t="s">
        <v>1761</v>
      </c>
      <c r="D21" s="25">
        <v>15959</v>
      </c>
      <c r="E21" s="25">
        <v>16140</v>
      </c>
      <c r="F21" s="310">
        <f t="shared" si="1"/>
        <v>181</v>
      </c>
      <c r="G21" s="135" t="s">
        <v>515</v>
      </c>
    </row>
    <row r="22" spans="1:17" ht="15" customHeight="1" thickBot="1" x14ac:dyDescent="0.25">
      <c r="A22" s="160" t="s">
        <v>666</v>
      </c>
      <c r="B22" s="613" t="s">
        <v>1167</v>
      </c>
      <c r="C22" s="592" t="s">
        <v>1762</v>
      </c>
      <c r="D22" s="157">
        <v>14450</v>
      </c>
      <c r="E22" s="783">
        <v>14530</v>
      </c>
      <c r="F22" s="310">
        <f t="shared" si="1"/>
        <v>80</v>
      </c>
      <c r="G22" s="228"/>
    </row>
    <row r="23" spans="1:17" ht="15" customHeight="1" thickBot="1" x14ac:dyDescent="0.25">
      <c r="A23" s="160" t="s">
        <v>667</v>
      </c>
      <c r="B23" s="619" t="s">
        <v>1168</v>
      </c>
      <c r="C23" s="593" t="s">
        <v>977</v>
      </c>
      <c r="D23" s="175">
        <v>39410</v>
      </c>
      <c r="E23" s="175">
        <v>39465</v>
      </c>
      <c r="F23" s="310">
        <f t="shared" si="1"/>
        <v>55</v>
      </c>
      <c r="G23" s="167" t="s">
        <v>976</v>
      </c>
    </row>
    <row r="24" spans="1:17" ht="15" customHeight="1" thickBot="1" x14ac:dyDescent="0.25">
      <c r="A24" s="23" t="s">
        <v>668</v>
      </c>
      <c r="B24" s="613" t="s">
        <v>1169</v>
      </c>
      <c r="C24" s="594" t="s">
        <v>669</v>
      </c>
      <c r="D24" s="22">
        <v>55315</v>
      </c>
      <c r="E24" s="22">
        <v>55380</v>
      </c>
      <c r="F24" s="310">
        <f t="shared" si="1"/>
        <v>65</v>
      </c>
      <c r="G24" s="135" t="s">
        <v>520</v>
      </c>
    </row>
    <row r="25" spans="1:17" ht="16.5" customHeight="1" thickBot="1" x14ac:dyDescent="0.25">
      <c r="A25" s="160" t="s">
        <v>670</v>
      </c>
      <c r="B25" s="619" t="s">
        <v>1637</v>
      </c>
      <c r="C25" s="591" t="s">
        <v>1763</v>
      </c>
      <c r="D25" s="22">
        <v>12705</v>
      </c>
      <c r="E25" s="22">
        <v>12825</v>
      </c>
      <c r="F25" s="566">
        <f t="shared" si="1"/>
        <v>120</v>
      </c>
      <c r="G25" s="308"/>
    </row>
    <row r="26" spans="1:17" ht="21" customHeight="1" thickBot="1" x14ac:dyDescent="0.25">
      <c r="A26" s="149" t="s">
        <v>671</v>
      </c>
      <c r="B26" s="613" t="s">
        <v>1170</v>
      </c>
      <c r="C26" s="592" t="s">
        <v>1764</v>
      </c>
      <c r="D26" s="28">
        <v>15</v>
      </c>
      <c r="E26" s="28">
        <v>15</v>
      </c>
      <c r="F26" s="310">
        <f t="shared" si="1"/>
        <v>0</v>
      </c>
      <c r="G26" s="774" t="s">
        <v>1634</v>
      </c>
    </row>
    <row r="27" spans="1:17" ht="15" customHeight="1" thickBot="1" x14ac:dyDescent="0.25">
      <c r="A27" s="141" t="s">
        <v>672</v>
      </c>
      <c r="B27" s="619" t="s">
        <v>1171</v>
      </c>
      <c r="C27" s="591" t="s">
        <v>1765</v>
      </c>
      <c r="D27" s="275">
        <v>50985</v>
      </c>
      <c r="E27" s="275">
        <v>52850</v>
      </c>
      <c r="F27" s="567">
        <f t="shared" si="1"/>
        <v>1865</v>
      </c>
      <c r="G27" s="308"/>
    </row>
    <row r="28" spans="1:17" ht="15" customHeight="1" thickBot="1" x14ac:dyDescent="0.25">
      <c r="A28" s="141" t="s">
        <v>673</v>
      </c>
      <c r="B28" s="615" t="s">
        <v>1754</v>
      </c>
      <c r="C28" s="590" t="s">
        <v>1766</v>
      </c>
      <c r="D28" s="25"/>
      <c r="E28" s="25"/>
      <c r="F28" s="778">
        <v>131</v>
      </c>
      <c r="G28" s="494">
        <v>32700</v>
      </c>
    </row>
    <row r="29" spans="1:17" ht="15" customHeight="1" thickBot="1" x14ac:dyDescent="0.25">
      <c r="A29" s="149" t="s">
        <v>674</v>
      </c>
      <c r="B29" s="619" t="s">
        <v>1172</v>
      </c>
      <c r="C29" s="598" t="s">
        <v>1767</v>
      </c>
      <c r="D29" s="22">
        <v>34945</v>
      </c>
      <c r="E29" s="22">
        <v>35340</v>
      </c>
      <c r="F29" s="310">
        <f t="shared" si="1"/>
        <v>395</v>
      </c>
      <c r="G29" s="308"/>
    </row>
    <row r="30" spans="1:17" s="119" customFormat="1" ht="15" customHeight="1" thickBot="1" x14ac:dyDescent="0.25">
      <c r="A30" s="23" t="s">
        <v>675</v>
      </c>
      <c r="B30" s="613" t="s">
        <v>1173</v>
      </c>
      <c r="C30" s="597" t="s">
        <v>1768</v>
      </c>
      <c r="D30" s="22">
        <v>35250</v>
      </c>
      <c r="E30" s="22">
        <v>35725</v>
      </c>
      <c r="F30" s="310">
        <f t="shared" si="1"/>
        <v>475</v>
      </c>
      <c r="G30" s="308"/>
      <c r="H30" s="118"/>
      <c r="I30" s="118"/>
      <c r="J30" s="118"/>
      <c r="K30" s="118"/>
      <c r="L30" s="118"/>
      <c r="M30" s="118"/>
      <c r="N30" s="118"/>
      <c r="O30" s="118"/>
      <c r="P30" s="118"/>
      <c r="Q30" s="118"/>
    </row>
    <row r="31" spans="1:17" ht="15" customHeight="1" thickBot="1" x14ac:dyDescent="0.25">
      <c r="A31" s="171" t="s">
        <v>676</v>
      </c>
      <c r="B31" s="613" t="s">
        <v>1364</v>
      </c>
      <c r="C31" s="591" t="s">
        <v>1769</v>
      </c>
      <c r="D31" s="758">
        <v>70435</v>
      </c>
      <c r="E31" s="758">
        <v>70895</v>
      </c>
      <c r="F31" s="310">
        <f t="shared" si="1"/>
        <v>460</v>
      </c>
      <c r="G31" s="486"/>
    </row>
    <row r="32" spans="1:17" ht="15" customHeight="1" thickBot="1" x14ac:dyDescent="0.25">
      <c r="A32" s="177"/>
      <c r="B32" s="620"/>
      <c r="C32" s="821" t="s">
        <v>17</v>
      </c>
      <c r="D32" s="822"/>
      <c r="E32" s="823"/>
      <c r="F32" s="668">
        <f>SUM(F7:F31)-G32</f>
        <v>6346</v>
      </c>
      <c r="G32" s="504">
        <f>F28</f>
        <v>131</v>
      </c>
    </row>
    <row r="33" spans="2:6" ht="27" customHeight="1" thickBot="1" x14ac:dyDescent="0.25">
      <c r="B33" s="318" t="s">
        <v>1033</v>
      </c>
      <c r="C33" s="16">
        <f>SUM('Общ. счетчики'!G15:G16)</f>
        <v>7100</v>
      </c>
      <c r="F33" s="338"/>
    </row>
    <row r="35" spans="2:6" x14ac:dyDescent="0.2">
      <c r="D35" s="820"/>
      <c r="E35" s="820"/>
      <c r="F35" s="820"/>
    </row>
  </sheetData>
  <autoFilter ref="F1:F35"/>
  <customSheetViews>
    <customSheetView guid="{59BB3A05-2517-4212-B4B0-766CE27362F6}" scale="120" showPageBreaks="1" fitToPage="1" printArea="1" showAutoFilter="1" hiddenColumns="1" state="hidden" view="pageBreakPreview" topLeftCell="A13">
      <selection activeCell="C26" sqref="C26"/>
      <pageMargins left="0.78740157480314965" right="0.19685039370078741" top="0.98425196850393704" bottom="0.98425196850393704" header="0.51181102362204722" footer="0.51181102362204722"/>
      <pageSetup paperSize="9" scale="98" orientation="portrait" r:id="rId1"/>
      <headerFooter alignWithMargins="0"/>
      <autoFilter ref="F1:F35"/>
    </customSheetView>
    <customSheetView guid="{11E80AD0-6AA7-470D-8311-11AF96F196E5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2"/>
      <headerFooter alignWithMargins="0"/>
    </customSheetView>
    <customSheetView guid="{1298D0A2-0CF6-434E-A6CD-B210E2963ADD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3"/>
      <headerFooter alignWithMargins="0"/>
    </customSheetView>
  </customSheetViews>
  <mergeCells count="10">
    <mergeCell ref="D35:F35"/>
    <mergeCell ref="C32:E32"/>
    <mergeCell ref="C1:D1"/>
    <mergeCell ref="E2:F2"/>
    <mergeCell ref="A3:B3"/>
    <mergeCell ref="A4:A6"/>
    <mergeCell ref="B4:B6"/>
    <mergeCell ref="C4:C6"/>
    <mergeCell ref="D4:E5"/>
    <mergeCell ref="F4:F6"/>
  </mergeCells>
  <phoneticPr fontId="11" type="noConversion"/>
  <pageMargins left="0.78740157480314965" right="0.19685039370078741" top="0.98425196850393704" bottom="0.98425196850393704" header="0.51181102362204722" footer="0.51181102362204722"/>
  <pageSetup paperSize="9" scale="98" orientation="portrait" r:id="rId4"/>
  <headerFooter alignWithMargins="0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topLeftCell="A13" zoomScale="120" zoomScaleSheetLayoutView="120" workbookViewId="0">
      <selection activeCell="F32" sqref="F32"/>
    </sheetView>
  </sheetViews>
  <sheetFormatPr defaultRowHeight="12.75" x14ac:dyDescent="0.2"/>
  <cols>
    <col min="1" max="1" width="8.85546875" customWidth="1"/>
    <col min="2" max="2" width="22" customWidth="1"/>
    <col min="3" max="3" width="17.7109375" customWidth="1"/>
    <col min="4" max="5" width="11" customWidth="1"/>
    <col min="6" max="6" width="12.5703125" customWidth="1"/>
    <col min="7" max="7" width="13.140625" customWidth="1"/>
  </cols>
  <sheetData>
    <row r="1" spans="1:7" x14ac:dyDescent="0.2">
      <c r="C1" s="811" t="s">
        <v>647</v>
      </c>
      <c r="D1" s="824"/>
    </row>
    <row r="2" spans="1:7" x14ac:dyDescent="0.2">
      <c r="C2" s="104"/>
      <c r="D2" s="105"/>
      <c r="E2" s="825" t="s">
        <v>2035</v>
      </c>
      <c r="F2" s="825"/>
    </row>
    <row r="3" spans="1:7" ht="13.5" thickBot="1" x14ac:dyDescent="0.25">
      <c r="A3" s="120" t="s">
        <v>677</v>
      </c>
      <c r="B3" s="120"/>
      <c r="C3" s="2"/>
      <c r="F3" s="2"/>
    </row>
    <row r="4" spans="1:7" ht="13.5" customHeight="1" thickBot="1" x14ac:dyDescent="0.25">
      <c r="A4" s="816" t="s">
        <v>1116</v>
      </c>
      <c r="B4" s="814" t="s">
        <v>481</v>
      </c>
      <c r="C4" s="814" t="s">
        <v>1</v>
      </c>
      <c r="D4" s="814" t="s">
        <v>2</v>
      </c>
      <c r="E4" s="814"/>
      <c r="F4" s="814" t="s">
        <v>678</v>
      </c>
    </row>
    <row r="5" spans="1:7" ht="13.5" thickBot="1" x14ac:dyDescent="0.25">
      <c r="A5" s="831"/>
      <c r="B5" s="814"/>
      <c r="C5" s="814"/>
      <c r="D5" s="814"/>
      <c r="E5" s="814"/>
      <c r="F5" s="814"/>
    </row>
    <row r="6" spans="1:7" ht="13.5" thickBot="1" x14ac:dyDescent="0.25">
      <c r="A6" s="832"/>
      <c r="B6" s="814"/>
      <c r="C6" s="814"/>
      <c r="D6" s="109" t="s">
        <v>6</v>
      </c>
      <c r="E6" s="110" t="s">
        <v>7</v>
      </c>
      <c r="F6" s="814"/>
    </row>
    <row r="7" spans="1:7" ht="15.75" customHeight="1" thickBot="1" x14ac:dyDescent="0.25">
      <c r="A7" s="141" t="s">
        <v>679</v>
      </c>
      <c r="B7" s="617" t="s">
        <v>1118</v>
      </c>
      <c r="C7" s="589" t="s">
        <v>680</v>
      </c>
      <c r="D7" s="20">
        <v>8650</v>
      </c>
      <c r="E7" s="20">
        <v>8690</v>
      </c>
      <c r="F7" s="21">
        <f t="shared" ref="F7:F14" si="0">E7-D7</f>
        <v>40</v>
      </c>
      <c r="G7" s="135" t="s">
        <v>498</v>
      </c>
    </row>
    <row r="8" spans="1:7" ht="14.45" customHeight="1" thickBot="1" x14ac:dyDescent="0.25">
      <c r="A8" s="149" t="s">
        <v>681</v>
      </c>
      <c r="B8" s="613" t="s">
        <v>1119</v>
      </c>
      <c r="C8" s="597" t="s">
        <v>1004</v>
      </c>
      <c r="D8" s="22">
        <v>55355</v>
      </c>
      <c r="E8" s="22">
        <v>55610</v>
      </c>
      <c r="F8" s="21">
        <f t="shared" si="0"/>
        <v>255</v>
      </c>
      <c r="G8" s="374"/>
    </row>
    <row r="9" spans="1:7" ht="14.25" customHeight="1" thickBot="1" x14ac:dyDescent="0.25">
      <c r="A9" s="23" t="s">
        <v>682</v>
      </c>
      <c r="B9" s="619" t="s">
        <v>1770</v>
      </c>
      <c r="C9" s="598" t="s">
        <v>1660</v>
      </c>
      <c r="D9" s="22">
        <v>7930</v>
      </c>
      <c r="E9" s="22">
        <v>8325</v>
      </c>
      <c r="F9" s="22">
        <f t="shared" ref="F9" si="1">E9-D9</f>
        <v>395</v>
      </c>
      <c r="G9" s="516"/>
    </row>
    <row r="10" spans="1:7" ht="14.25" customHeight="1" thickBot="1" x14ac:dyDescent="0.25">
      <c r="A10" s="160" t="s">
        <v>683</v>
      </c>
      <c r="B10" s="613" t="s">
        <v>1771</v>
      </c>
      <c r="C10" s="592" t="s">
        <v>1782</v>
      </c>
      <c r="D10" s="22">
        <v>26105</v>
      </c>
      <c r="E10" s="22">
        <v>26300</v>
      </c>
      <c r="F10" s="22">
        <f t="shared" si="0"/>
        <v>195</v>
      </c>
    </row>
    <row r="11" spans="1:7" ht="14.25" customHeight="1" thickBot="1" x14ac:dyDescent="0.25">
      <c r="A11" s="23" t="s">
        <v>684</v>
      </c>
      <c r="B11" s="619" t="s">
        <v>1772</v>
      </c>
      <c r="C11" s="589" t="s">
        <v>1783</v>
      </c>
      <c r="D11" s="22">
        <v>15095</v>
      </c>
      <c r="E11" s="22">
        <v>15140</v>
      </c>
      <c r="F11" s="22">
        <f>E11-D11</f>
        <v>45</v>
      </c>
      <c r="G11" s="347"/>
    </row>
    <row r="12" spans="1:7" ht="14.25" customHeight="1" thickBot="1" x14ac:dyDescent="0.25">
      <c r="A12" s="149" t="s">
        <v>685</v>
      </c>
      <c r="B12" s="613" t="s">
        <v>1120</v>
      </c>
      <c r="C12" s="597" t="s">
        <v>1025</v>
      </c>
      <c r="D12" s="22">
        <v>47815</v>
      </c>
      <c r="E12" s="22">
        <v>47970</v>
      </c>
      <c r="F12" s="21">
        <f t="shared" si="0"/>
        <v>155</v>
      </c>
      <c r="G12" s="561"/>
    </row>
    <row r="13" spans="1:7" ht="14.25" customHeight="1" thickBot="1" x14ac:dyDescent="0.25">
      <c r="A13" s="165" t="s">
        <v>686</v>
      </c>
      <c r="B13" s="619" t="s">
        <v>1121</v>
      </c>
      <c r="C13" s="598" t="s">
        <v>968</v>
      </c>
      <c r="D13" s="22">
        <v>18715</v>
      </c>
      <c r="E13" s="22">
        <v>18770</v>
      </c>
      <c r="F13" s="21">
        <f t="shared" si="0"/>
        <v>55</v>
      </c>
      <c r="G13" s="561"/>
    </row>
    <row r="14" spans="1:7" ht="24.75" customHeight="1" thickBot="1" x14ac:dyDescent="0.25">
      <c r="A14" s="149" t="s">
        <v>687</v>
      </c>
      <c r="B14" s="613" t="s">
        <v>1122</v>
      </c>
      <c r="C14" s="593" t="s">
        <v>969</v>
      </c>
      <c r="D14" s="22">
        <v>9995</v>
      </c>
      <c r="E14" s="22">
        <v>10035</v>
      </c>
      <c r="F14" s="21">
        <f t="shared" si="0"/>
        <v>40</v>
      </c>
      <c r="G14" s="561"/>
    </row>
    <row r="15" spans="1:7" ht="14.25" customHeight="1" thickBot="1" x14ac:dyDescent="0.25">
      <c r="A15" s="149" t="s">
        <v>688</v>
      </c>
      <c r="B15" s="619" t="s">
        <v>1123</v>
      </c>
      <c r="C15" s="589" t="s">
        <v>1784</v>
      </c>
      <c r="D15" s="22">
        <v>31130</v>
      </c>
      <c r="E15" s="22">
        <v>31355</v>
      </c>
      <c r="F15" s="22">
        <f>E15-D15</f>
        <v>225</v>
      </c>
      <c r="G15" s="347"/>
    </row>
    <row r="16" spans="1:7" ht="14.25" customHeight="1" thickBot="1" x14ac:dyDescent="0.25">
      <c r="A16" s="141" t="s">
        <v>689</v>
      </c>
      <c r="B16" s="613" t="s">
        <v>1124</v>
      </c>
      <c r="C16" s="590" t="s">
        <v>1785</v>
      </c>
      <c r="D16" s="22">
        <v>35125</v>
      </c>
      <c r="E16" s="22">
        <v>35725</v>
      </c>
      <c r="F16" s="22">
        <f>E16-D16</f>
        <v>600</v>
      </c>
      <c r="G16" s="135" t="s">
        <v>510</v>
      </c>
    </row>
    <row r="17" spans="1:9" ht="14.25" customHeight="1" thickBot="1" x14ac:dyDescent="0.25">
      <c r="A17" s="141" t="s">
        <v>690</v>
      </c>
      <c r="B17" s="619" t="s">
        <v>1125</v>
      </c>
      <c r="C17" s="598" t="s">
        <v>691</v>
      </c>
      <c r="D17" s="22">
        <v>33695</v>
      </c>
      <c r="E17" s="22">
        <v>33935</v>
      </c>
      <c r="F17" s="22">
        <f t="shared" ref="F17:F58" si="2">E17-D17</f>
        <v>240</v>
      </c>
    </row>
    <row r="18" spans="1:9" ht="14.25" customHeight="1" thickBot="1" x14ac:dyDescent="0.25">
      <c r="A18" s="160" t="s">
        <v>692</v>
      </c>
      <c r="B18" s="613" t="s">
        <v>1126</v>
      </c>
      <c r="C18" s="603" t="s">
        <v>1786</v>
      </c>
      <c r="D18" s="157">
        <v>36785</v>
      </c>
      <c r="E18" s="157">
        <v>37465</v>
      </c>
      <c r="F18" s="22">
        <f t="shared" si="2"/>
        <v>680</v>
      </c>
      <c r="G18" s="121"/>
    </row>
    <row r="19" spans="1:9" ht="14.25" customHeight="1" thickBot="1" x14ac:dyDescent="0.25">
      <c r="A19" s="169" t="s">
        <v>693</v>
      </c>
      <c r="B19" s="619" t="s">
        <v>1127</v>
      </c>
      <c r="C19" s="598" t="s">
        <v>983</v>
      </c>
      <c r="D19" s="22">
        <v>57640</v>
      </c>
      <c r="E19" s="22">
        <v>57995</v>
      </c>
      <c r="F19" s="21">
        <f t="shared" si="2"/>
        <v>355</v>
      </c>
      <c r="G19" s="374"/>
    </row>
    <row r="20" spans="1:9" ht="14.25" customHeight="1" thickBot="1" x14ac:dyDescent="0.25">
      <c r="A20" s="141" t="s">
        <v>1965</v>
      </c>
      <c r="B20" s="613" t="s">
        <v>1084</v>
      </c>
      <c r="C20" s="597" t="s">
        <v>1635</v>
      </c>
      <c r="D20" s="22">
        <v>5240</v>
      </c>
      <c r="E20" s="22">
        <v>5285</v>
      </c>
      <c r="F20" s="22">
        <f t="shared" si="2"/>
        <v>45</v>
      </c>
      <c r="G20" s="126"/>
    </row>
    <row r="21" spans="1:9" ht="14.25" customHeight="1" thickBot="1" x14ac:dyDescent="0.25">
      <c r="A21" s="160"/>
      <c r="B21" s="613" t="s">
        <v>1084</v>
      </c>
      <c r="C21" s="589" t="s">
        <v>1636</v>
      </c>
      <c r="D21" s="22">
        <v>11395</v>
      </c>
      <c r="E21" s="22">
        <v>11465</v>
      </c>
      <c r="F21" s="21">
        <f t="shared" si="2"/>
        <v>70</v>
      </c>
      <c r="G21" s="569"/>
    </row>
    <row r="22" spans="1:9" ht="14.25" customHeight="1" thickBot="1" x14ac:dyDescent="0.25">
      <c r="A22" s="23" t="s">
        <v>694</v>
      </c>
      <c r="B22" s="619" t="s">
        <v>1128</v>
      </c>
      <c r="C22" s="598" t="s">
        <v>1787</v>
      </c>
      <c r="D22" s="22">
        <v>23460</v>
      </c>
      <c r="E22" s="22">
        <v>23480</v>
      </c>
      <c r="F22" s="21">
        <f t="shared" si="2"/>
        <v>20</v>
      </c>
      <c r="G22" s="135" t="s">
        <v>1382</v>
      </c>
    </row>
    <row r="23" spans="1:9" ht="14.25" customHeight="1" thickBot="1" x14ac:dyDescent="0.25">
      <c r="A23" s="23" t="s">
        <v>695</v>
      </c>
      <c r="B23" s="613" t="s">
        <v>1129</v>
      </c>
      <c r="C23" s="592" t="s">
        <v>696</v>
      </c>
      <c r="D23" s="22">
        <v>50070</v>
      </c>
      <c r="E23" s="275">
        <v>50085</v>
      </c>
      <c r="F23" s="21">
        <f t="shared" si="2"/>
        <v>15</v>
      </c>
      <c r="G23" s="111"/>
    </row>
    <row r="24" spans="1:9" ht="14.25" customHeight="1" thickBot="1" x14ac:dyDescent="0.25">
      <c r="A24" s="160" t="s">
        <v>697</v>
      </c>
      <c r="B24" s="619" t="s">
        <v>1773</v>
      </c>
      <c r="C24" s="589" t="s">
        <v>1788</v>
      </c>
      <c r="D24" s="22">
        <v>34125</v>
      </c>
      <c r="E24" s="22">
        <v>34325</v>
      </c>
      <c r="F24" s="21">
        <f t="shared" si="2"/>
        <v>200</v>
      </c>
      <c r="G24" s="297"/>
    </row>
    <row r="25" spans="1:9" ht="14.25" customHeight="1" thickBot="1" x14ac:dyDescent="0.25">
      <c r="A25" s="149" t="s">
        <v>698</v>
      </c>
      <c r="B25" s="613" t="s">
        <v>1774</v>
      </c>
      <c r="C25" s="597" t="s">
        <v>1323</v>
      </c>
      <c r="D25" s="22">
        <v>37000</v>
      </c>
      <c r="E25" s="22">
        <v>37220</v>
      </c>
      <c r="F25" s="21">
        <f t="shared" si="2"/>
        <v>220</v>
      </c>
      <c r="G25" s="374"/>
    </row>
    <row r="26" spans="1:9" ht="14.25" customHeight="1" thickBot="1" x14ac:dyDescent="0.25">
      <c r="A26" s="23" t="s">
        <v>699</v>
      </c>
      <c r="B26" s="619" t="s">
        <v>1130</v>
      </c>
      <c r="C26" s="598" t="s">
        <v>1789</v>
      </c>
      <c r="D26" s="22">
        <v>19515</v>
      </c>
      <c r="E26" s="22">
        <v>19630</v>
      </c>
      <c r="F26" s="22">
        <f>E26-D26</f>
        <v>115</v>
      </c>
      <c r="G26" s="349"/>
    </row>
    <row r="27" spans="1:9" ht="15" customHeight="1" thickBot="1" x14ac:dyDescent="0.25">
      <c r="A27" s="23" t="s">
        <v>700</v>
      </c>
      <c r="B27" s="613" t="s">
        <v>1131</v>
      </c>
      <c r="C27" s="590" t="s">
        <v>1790</v>
      </c>
      <c r="D27" s="22">
        <v>15790</v>
      </c>
      <c r="E27" s="22">
        <v>15795</v>
      </c>
      <c r="F27" s="21">
        <f t="shared" si="2"/>
        <v>5</v>
      </c>
      <c r="G27" s="521"/>
    </row>
    <row r="28" spans="1:9" ht="14.25" customHeight="1" thickBot="1" x14ac:dyDescent="0.25">
      <c r="A28" s="149" t="s">
        <v>701</v>
      </c>
      <c r="B28" s="619" t="s">
        <v>1775</v>
      </c>
      <c r="C28" s="598" t="s">
        <v>1006</v>
      </c>
      <c r="D28" s="275">
        <v>59745</v>
      </c>
      <c r="E28" s="275">
        <v>59810</v>
      </c>
      <c r="F28" s="21">
        <f t="shared" si="2"/>
        <v>65</v>
      </c>
      <c r="G28" s="374"/>
      <c r="H28" s="117"/>
      <c r="I28" s="117"/>
    </row>
    <row r="29" spans="1:9" ht="14.25" customHeight="1" thickBot="1" x14ac:dyDescent="0.25">
      <c r="A29" s="168" t="s">
        <v>702</v>
      </c>
      <c r="B29" s="613" t="s">
        <v>1776</v>
      </c>
      <c r="C29" s="597" t="s">
        <v>934</v>
      </c>
      <c r="D29" s="275">
        <v>36050</v>
      </c>
      <c r="E29" s="275">
        <v>36185</v>
      </c>
      <c r="F29" s="22">
        <f t="shared" si="2"/>
        <v>135</v>
      </c>
      <c r="G29" s="135" t="s">
        <v>525</v>
      </c>
    </row>
    <row r="30" spans="1:9" ht="14.25" customHeight="1" thickBot="1" x14ac:dyDescent="0.25">
      <c r="A30" s="141" t="s">
        <v>703</v>
      </c>
      <c r="B30" s="619" t="s">
        <v>1132</v>
      </c>
      <c r="C30" s="595" t="s">
        <v>2022</v>
      </c>
      <c r="D30" s="275">
        <v>1290</v>
      </c>
      <c r="E30" s="275">
        <v>1625</v>
      </c>
      <c r="F30" s="275">
        <f>E30-D30</f>
        <v>335</v>
      </c>
      <c r="G30" s="694"/>
    </row>
    <row r="31" spans="1:9" ht="14.25" customHeight="1" thickBot="1" x14ac:dyDescent="0.25">
      <c r="A31" s="23" t="s">
        <v>704</v>
      </c>
      <c r="B31" s="613" t="s">
        <v>1133</v>
      </c>
      <c r="C31" s="623" t="s">
        <v>1791</v>
      </c>
      <c r="D31" s="22">
        <v>24470</v>
      </c>
      <c r="E31" s="22">
        <v>24790</v>
      </c>
      <c r="F31" s="226">
        <f>E31-D31</f>
        <v>320</v>
      </c>
      <c r="G31" s="347"/>
    </row>
    <row r="32" spans="1:9" ht="14.25" customHeight="1" thickBot="1" x14ac:dyDescent="0.25">
      <c r="A32" s="163" t="s">
        <v>705</v>
      </c>
      <c r="B32" s="619" t="s">
        <v>1777</v>
      </c>
      <c r="C32" s="589" t="s">
        <v>1792</v>
      </c>
      <c r="D32" s="522">
        <v>33020</v>
      </c>
      <c r="E32" s="522">
        <v>33530</v>
      </c>
      <c r="F32" s="21">
        <f t="shared" si="2"/>
        <v>510</v>
      </c>
      <c r="G32" s="137"/>
    </row>
    <row r="33" spans="1:8" ht="14.25" customHeight="1" thickTop="1" thickBot="1" x14ac:dyDescent="0.25">
      <c r="A33" s="162" t="s">
        <v>706</v>
      </c>
      <c r="B33" s="613" t="s">
        <v>1134</v>
      </c>
      <c r="C33" s="597" t="s">
        <v>993</v>
      </c>
      <c r="D33" s="154">
        <v>39735</v>
      </c>
      <c r="E33" s="154">
        <v>39880</v>
      </c>
      <c r="F33" s="21">
        <f t="shared" si="2"/>
        <v>145</v>
      </c>
    </row>
    <row r="34" spans="1:8" ht="14.25" customHeight="1" thickBot="1" x14ac:dyDescent="0.25">
      <c r="A34" s="23" t="s">
        <v>1337</v>
      </c>
      <c r="B34" s="619" t="s">
        <v>1134</v>
      </c>
      <c r="C34" s="591" t="s">
        <v>1568</v>
      </c>
      <c r="D34" s="22">
        <v>22260</v>
      </c>
      <c r="E34" s="22">
        <v>22530</v>
      </c>
      <c r="F34" s="21">
        <f t="shared" ref="F34" si="3">E34-D34</f>
        <v>270</v>
      </c>
      <c r="G34" s="135" t="s">
        <v>498</v>
      </c>
    </row>
    <row r="35" spans="1:8" ht="14.25" customHeight="1" thickBot="1" x14ac:dyDescent="0.25">
      <c r="A35" s="23" t="s">
        <v>707</v>
      </c>
      <c r="B35" s="613" t="s">
        <v>1135</v>
      </c>
      <c r="C35" s="590" t="s">
        <v>962</v>
      </c>
      <c r="D35" s="22"/>
      <c r="E35" s="22"/>
      <c r="F35" s="754">
        <v>30</v>
      </c>
      <c r="G35" s="768">
        <v>11860</v>
      </c>
    </row>
    <row r="36" spans="1:8" ht="14.25" customHeight="1" thickBot="1" x14ac:dyDescent="0.25">
      <c r="A36" s="160" t="s">
        <v>708</v>
      </c>
      <c r="B36" s="619" t="s">
        <v>1136</v>
      </c>
      <c r="C36" s="589" t="s">
        <v>1793</v>
      </c>
      <c r="D36" s="22">
        <v>53460</v>
      </c>
      <c r="E36" s="22">
        <v>53795</v>
      </c>
      <c r="F36" s="21">
        <f t="shared" si="2"/>
        <v>335</v>
      </c>
      <c r="G36" s="324"/>
    </row>
    <row r="37" spans="1:8" ht="14.25" customHeight="1" thickBot="1" x14ac:dyDescent="0.25">
      <c r="A37" s="149" t="s">
        <v>709</v>
      </c>
      <c r="B37" s="613" t="s">
        <v>1137</v>
      </c>
      <c r="C37" s="597" t="s">
        <v>988</v>
      </c>
      <c r="D37" s="22">
        <v>41420</v>
      </c>
      <c r="E37" s="22">
        <v>41595</v>
      </c>
      <c r="F37" s="21">
        <f t="shared" si="2"/>
        <v>175</v>
      </c>
      <c r="G37" s="374"/>
    </row>
    <row r="38" spans="1:8" ht="14.25" customHeight="1" thickBot="1" x14ac:dyDescent="0.25">
      <c r="A38" s="23" t="s">
        <v>710</v>
      </c>
      <c r="B38" s="619" t="s">
        <v>1778</v>
      </c>
      <c r="C38" s="591" t="s">
        <v>1794</v>
      </c>
      <c r="D38" s="22">
        <v>14575</v>
      </c>
      <c r="E38" s="22">
        <v>14915</v>
      </c>
      <c r="F38" s="22">
        <f>E38-D38</f>
        <v>340</v>
      </c>
      <c r="G38" s="347"/>
    </row>
    <row r="39" spans="1:8" ht="14.25" customHeight="1" thickBot="1" x14ac:dyDescent="0.25">
      <c r="A39" s="160" t="s">
        <v>711</v>
      </c>
      <c r="B39" s="613" t="s">
        <v>1779</v>
      </c>
      <c r="C39" s="590" t="s">
        <v>712</v>
      </c>
      <c r="D39" s="22">
        <v>43290</v>
      </c>
      <c r="E39" s="22">
        <v>43360</v>
      </c>
      <c r="F39" s="21">
        <f t="shared" si="2"/>
        <v>70</v>
      </c>
      <c r="G39" s="521"/>
    </row>
    <row r="40" spans="1:8" ht="14.25" customHeight="1" thickBot="1" x14ac:dyDescent="0.25">
      <c r="A40" s="23" t="s">
        <v>713</v>
      </c>
      <c r="B40" s="619" t="s">
        <v>1138</v>
      </c>
      <c r="C40" s="589" t="s">
        <v>714</v>
      </c>
      <c r="D40" s="22">
        <v>39340</v>
      </c>
      <c r="E40" s="22">
        <v>39485</v>
      </c>
      <c r="F40" s="21">
        <f t="shared" si="2"/>
        <v>145</v>
      </c>
      <c r="G40" s="699"/>
    </row>
    <row r="41" spans="1:8" ht="14.25" customHeight="1" thickBot="1" x14ac:dyDescent="0.25">
      <c r="A41" s="149" t="s">
        <v>715</v>
      </c>
      <c r="B41" s="613" t="s">
        <v>1139</v>
      </c>
      <c r="C41" s="597" t="s">
        <v>1795</v>
      </c>
      <c r="D41" s="22">
        <v>7615</v>
      </c>
      <c r="E41" s="22">
        <v>7775</v>
      </c>
      <c r="F41" s="21">
        <f t="shared" si="2"/>
        <v>160</v>
      </c>
      <c r="G41" s="137"/>
    </row>
    <row r="42" spans="1:8" ht="14.25" customHeight="1" thickBot="1" x14ac:dyDescent="0.25">
      <c r="A42" s="141" t="s">
        <v>716</v>
      </c>
      <c r="B42" s="619" t="s">
        <v>1140</v>
      </c>
      <c r="C42" s="591" t="s">
        <v>717</v>
      </c>
      <c r="D42" s="22">
        <v>106470</v>
      </c>
      <c r="E42" s="22">
        <v>106815</v>
      </c>
      <c r="F42" s="21">
        <f t="shared" si="2"/>
        <v>345</v>
      </c>
    </row>
    <row r="43" spans="1:8" ht="14.25" customHeight="1" thickBot="1" x14ac:dyDescent="0.25">
      <c r="A43" s="141" t="s">
        <v>718</v>
      </c>
      <c r="B43" s="613" t="s">
        <v>1675</v>
      </c>
      <c r="C43" s="589" t="s">
        <v>1934</v>
      </c>
      <c r="D43" s="22">
        <v>12595</v>
      </c>
      <c r="E43" s="22">
        <v>12935</v>
      </c>
      <c r="F43" s="22">
        <f t="shared" ref="F43" si="4">E43-D43</f>
        <v>340</v>
      </c>
      <c r="G43" s="585"/>
    </row>
    <row r="44" spans="1:8" ht="14.25" customHeight="1" thickBot="1" x14ac:dyDescent="0.25">
      <c r="A44" s="141" t="s">
        <v>719</v>
      </c>
      <c r="B44" s="613" t="s">
        <v>1780</v>
      </c>
      <c r="C44" s="589" t="s">
        <v>1970</v>
      </c>
      <c r="D44" s="22">
        <v>3890</v>
      </c>
      <c r="E44" s="22">
        <v>4030</v>
      </c>
      <c r="F44" s="22">
        <f t="shared" ref="F44" si="5">E44-D44</f>
        <v>140</v>
      </c>
      <c r="G44" s="585"/>
    </row>
    <row r="45" spans="1:8" ht="14.25" customHeight="1" thickBot="1" x14ac:dyDescent="0.25">
      <c r="A45" s="141" t="s">
        <v>720</v>
      </c>
      <c r="B45" s="613" t="s">
        <v>1141</v>
      </c>
      <c r="C45" s="597" t="s">
        <v>721</v>
      </c>
      <c r="D45" s="22">
        <v>90110</v>
      </c>
      <c r="E45" s="22">
        <v>90445</v>
      </c>
      <c r="F45" s="21">
        <f t="shared" si="2"/>
        <v>335</v>
      </c>
      <c r="G45" s="135" t="s">
        <v>515</v>
      </c>
    </row>
    <row r="46" spans="1:8" ht="14.25" customHeight="1" thickBot="1" x14ac:dyDescent="0.25">
      <c r="A46" s="23" t="s">
        <v>722</v>
      </c>
      <c r="B46" s="619" t="s">
        <v>1142</v>
      </c>
      <c r="C46" s="591" t="s">
        <v>1530</v>
      </c>
      <c r="D46" s="22">
        <v>10420</v>
      </c>
      <c r="E46" s="22">
        <v>10600</v>
      </c>
      <c r="F46" s="21">
        <f t="shared" ref="F46" si="6">E46-D46</f>
        <v>180</v>
      </c>
      <c r="G46" s="514"/>
      <c r="H46" s="238"/>
    </row>
    <row r="47" spans="1:8" ht="14.25" customHeight="1" thickBot="1" x14ac:dyDescent="0.25">
      <c r="A47" s="160" t="s">
        <v>723</v>
      </c>
      <c r="B47" s="613" t="s">
        <v>1143</v>
      </c>
      <c r="C47" s="598" t="s">
        <v>1796</v>
      </c>
      <c r="D47" s="22">
        <v>12900</v>
      </c>
      <c r="E47" s="22">
        <v>13065</v>
      </c>
      <c r="F47" s="21">
        <f t="shared" ref="F47" si="7">E47-D47</f>
        <v>165</v>
      </c>
      <c r="G47" s="374"/>
    </row>
    <row r="48" spans="1:8" ht="15" customHeight="1" thickBot="1" x14ac:dyDescent="0.25">
      <c r="A48" s="160" t="s">
        <v>724</v>
      </c>
      <c r="B48" s="622" t="s">
        <v>1144</v>
      </c>
      <c r="C48" s="603" t="s">
        <v>1797</v>
      </c>
      <c r="D48" s="157">
        <v>54790</v>
      </c>
      <c r="E48" s="157">
        <v>54790</v>
      </c>
      <c r="F48" s="21">
        <f t="shared" si="2"/>
        <v>0</v>
      </c>
      <c r="G48" s="135" t="s">
        <v>520</v>
      </c>
    </row>
    <row r="49" spans="1:7" ht="14.25" customHeight="1" thickBot="1" x14ac:dyDescent="0.25">
      <c r="A49" s="23" t="s">
        <v>725</v>
      </c>
      <c r="B49" s="619" t="s">
        <v>1145</v>
      </c>
      <c r="C49" s="591" t="s">
        <v>1798</v>
      </c>
      <c r="D49" s="22">
        <v>16235</v>
      </c>
      <c r="E49" s="22">
        <v>16325</v>
      </c>
      <c r="F49" s="22">
        <f>E49-D49</f>
        <v>90</v>
      </c>
      <c r="G49" s="111"/>
    </row>
    <row r="50" spans="1:7" ht="14.25" customHeight="1" thickBot="1" x14ac:dyDescent="0.25">
      <c r="A50" s="149" t="s">
        <v>726</v>
      </c>
      <c r="B50" s="613" t="s">
        <v>1146</v>
      </c>
      <c r="C50" s="590" t="s">
        <v>1008</v>
      </c>
      <c r="D50" s="22">
        <v>34255</v>
      </c>
      <c r="E50" s="22">
        <v>34355</v>
      </c>
      <c r="F50" s="21">
        <f t="shared" si="2"/>
        <v>100</v>
      </c>
      <c r="G50" s="374"/>
    </row>
    <row r="51" spans="1:7" ht="14.25" customHeight="1" thickBot="1" x14ac:dyDescent="0.25">
      <c r="A51" s="141" t="s">
        <v>727</v>
      </c>
      <c r="B51" s="619" t="s">
        <v>1147</v>
      </c>
      <c r="C51" s="589" t="s">
        <v>1799</v>
      </c>
      <c r="D51" s="22">
        <v>18345</v>
      </c>
      <c r="E51" s="22">
        <v>18510</v>
      </c>
      <c r="F51" s="22">
        <f>E51-D51</f>
        <v>165</v>
      </c>
      <c r="G51" s="349"/>
    </row>
    <row r="52" spans="1:7" ht="14.25" customHeight="1" thickBot="1" x14ac:dyDescent="0.25">
      <c r="A52" s="141" t="s">
        <v>728</v>
      </c>
      <c r="B52" s="613" t="s">
        <v>1148</v>
      </c>
      <c r="C52" s="598" t="s">
        <v>1800</v>
      </c>
      <c r="D52" s="22">
        <v>10720</v>
      </c>
      <c r="E52" s="22">
        <v>10765</v>
      </c>
      <c r="F52" s="22">
        <f>E52-D52</f>
        <v>45</v>
      </c>
      <c r="G52" s="135" t="s">
        <v>525</v>
      </c>
    </row>
    <row r="53" spans="1:7" ht="15" customHeight="1" thickBot="1" x14ac:dyDescent="0.25">
      <c r="A53" s="160" t="s">
        <v>729</v>
      </c>
      <c r="B53" s="619" t="s">
        <v>1149</v>
      </c>
      <c r="C53" s="591" t="s">
        <v>959</v>
      </c>
      <c r="D53" s="28">
        <v>21240</v>
      </c>
      <c r="E53" s="28">
        <v>21350</v>
      </c>
      <c r="F53" s="21">
        <f t="shared" si="2"/>
        <v>110</v>
      </c>
      <c r="G53" s="374"/>
    </row>
    <row r="54" spans="1:7" ht="14.25" customHeight="1" thickBot="1" x14ac:dyDescent="0.25">
      <c r="A54" s="141" t="s">
        <v>730</v>
      </c>
      <c r="B54" s="613" t="s">
        <v>1150</v>
      </c>
      <c r="C54" s="589" t="s">
        <v>1801</v>
      </c>
      <c r="D54" s="28">
        <v>6630</v>
      </c>
      <c r="E54" s="28">
        <v>6670</v>
      </c>
      <c r="F54" s="22">
        <f>E54-D54</f>
        <v>40</v>
      </c>
      <c r="G54" s="347"/>
    </row>
    <row r="55" spans="1:7" ht="14.25" customHeight="1" thickBot="1" x14ac:dyDescent="0.25">
      <c r="A55" s="160" t="s">
        <v>286</v>
      </c>
      <c r="B55" s="619" t="s">
        <v>1781</v>
      </c>
      <c r="C55" s="591" t="s">
        <v>731</v>
      </c>
      <c r="D55" s="157">
        <v>58360</v>
      </c>
      <c r="E55" s="157">
        <v>58735</v>
      </c>
      <c r="F55" s="21">
        <f t="shared" si="2"/>
        <v>375</v>
      </c>
      <c r="G55" s="220"/>
    </row>
    <row r="56" spans="1:7" ht="15.75" customHeight="1" thickBot="1" x14ac:dyDescent="0.25">
      <c r="A56" s="23" t="s">
        <v>732</v>
      </c>
      <c r="B56" s="613" t="s">
        <v>1153</v>
      </c>
      <c r="C56" s="598" t="s">
        <v>1802</v>
      </c>
      <c r="D56" s="275">
        <v>59250</v>
      </c>
      <c r="E56" s="275">
        <v>59735</v>
      </c>
      <c r="F56" s="21">
        <f t="shared" si="2"/>
        <v>485</v>
      </c>
      <c r="G56" s="324"/>
    </row>
    <row r="57" spans="1:7" ht="14.25" customHeight="1" thickBot="1" x14ac:dyDescent="0.25">
      <c r="A57" s="160" t="s">
        <v>733</v>
      </c>
      <c r="B57" s="619" t="s">
        <v>1151</v>
      </c>
      <c r="C57" s="589" t="s">
        <v>1803</v>
      </c>
      <c r="D57" s="22">
        <v>6915</v>
      </c>
      <c r="E57" s="22">
        <v>7005</v>
      </c>
      <c r="F57" s="21">
        <f t="shared" ref="F57" si="8">E57-D57</f>
        <v>90</v>
      </c>
      <c r="G57" s="354"/>
    </row>
    <row r="58" spans="1:7" ht="15.75" customHeight="1" thickBot="1" x14ac:dyDescent="0.25">
      <c r="A58" s="149" t="s">
        <v>734</v>
      </c>
      <c r="B58" s="613" t="s">
        <v>1151</v>
      </c>
      <c r="C58" s="594" t="s">
        <v>1804</v>
      </c>
      <c r="D58" s="22">
        <v>31690</v>
      </c>
      <c r="E58" s="22">
        <v>31765</v>
      </c>
      <c r="F58" s="21">
        <f t="shared" si="2"/>
        <v>75</v>
      </c>
      <c r="G58" s="324"/>
    </row>
    <row r="59" spans="1:7" ht="14.25" customHeight="1" thickBot="1" x14ac:dyDescent="0.25">
      <c r="A59" s="160" t="s">
        <v>735</v>
      </c>
      <c r="B59" s="613" t="s">
        <v>1152</v>
      </c>
      <c r="C59" s="589" t="s">
        <v>1472</v>
      </c>
      <c r="D59" s="157">
        <v>14875</v>
      </c>
      <c r="E59" s="157">
        <v>15045</v>
      </c>
      <c r="F59" s="21">
        <f t="shared" ref="F59" si="9">E59-D59</f>
        <v>170</v>
      </c>
      <c r="G59" s="10"/>
    </row>
    <row r="60" spans="1:7" ht="21.75" customHeight="1" thickBot="1" x14ac:dyDescent="0.25">
      <c r="A60" s="827" t="s">
        <v>16</v>
      </c>
      <c r="B60" s="828"/>
      <c r="C60" s="828"/>
      <c r="D60" s="829"/>
      <c r="E60" s="830"/>
      <c r="F60" s="498">
        <f>SUM(F7:F59)-G60</f>
        <v>10225</v>
      </c>
      <c r="G60" s="517">
        <f>F35</f>
        <v>30</v>
      </c>
    </row>
    <row r="61" spans="1:7" ht="24" customHeight="1" thickBot="1" x14ac:dyDescent="0.25">
      <c r="A61" s="499"/>
      <c r="B61" s="500"/>
      <c r="C61" s="821" t="s">
        <v>1033</v>
      </c>
      <c r="D61" s="822"/>
      <c r="E61" s="823"/>
      <c r="F61" s="345">
        <f>SUM('Общ. счетчики'!G20:G21)</f>
        <v>10570</v>
      </c>
    </row>
    <row r="62" spans="1:7" ht="0.75" customHeight="1" x14ac:dyDescent="0.2">
      <c r="C62" s="126"/>
    </row>
  </sheetData>
  <autoFilter ref="F1:F62"/>
  <customSheetViews>
    <customSheetView guid="{59BB3A05-2517-4212-B4B0-766CE27362F6}" scale="120" showPageBreaks="1" printArea="1" showAutoFilter="1" state="hidden" view="pageBreakPreview" topLeftCell="A13">
      <selection activeCell="F32" sqref="F32"/>
      <pageMargins left="0.59055118110236227" right="0.19685039370078741" top="0.39370078740157483" bottom="0.39370078740157483" header="0" footer="0"/>
      <pageSetup paperSize="9" orientation="portrait" r:id="rId1"/>
      <headerFooter alignWithMargins="0"/>
      <autoFilter ref="F1:F62"/>
    </customSheetView>
    <customSheetView guid="{11E80AD0-6AA7-470D-8311-11AF96F196E5}" scale="120" showPageBreaks="1" printArea="1" view="pageBreakPreview" topLeftCell="A55">
      <selection activeCell="F48" sqref="F48"/>
      <pageMargins left="0.59055118110236227" right="0.19685039370078741" top="0.39370078740157483" bottom="0.39370078740157483" header="0" footer="0"/>
      <pageSetup paperSize="9" orientation="portrait" r:id="rId2"/>
      <headerFooter alignWithMargins="0"/>
    </customSheetView>
    <customSheetView guid="{1298D0A2-0CF6-434E-A6CD-B210E2963ADD}" scale="120" showPageBreaks="1" printArea="1" view="pageBreakPreview" topLeftCell="A58">
      <selection activeCell="F66" sqref="F66"/>
      <pageMargins left="0.59055118110236227" right="0.19685039370078741" top="0.39370078740157483" bottom="0.39370078740157483" header="0" footer="0"/>
      <pageSetup paperSize="9" orientation="portrait" r:id="rId3"/>
      <headerFooter alignWithMargins="0"/>
    </customSheetView>
  </customSheetViews>
  <mergeCells count="9">
    <mergeCell ref="A60:E60"/>
    <mergeCell ref="D4:E5"/>
    <mergeCell ref="C61:E61"/>
    <mergeCell ref="C1:D1"/>
    <mergeCell ref="E2:F2"/>
    <mergeCell ref="A4:A6"/>
    <mergeCell ref="B4:B6"/>
    <mergeCell ref="C4:C6"/>
    <mergeCell ref="F4:F6"/>
  </mergeCells>
  <phoneticPr fontId="11" type="noConversion"/>
  <pageMargins left="0.59055118110236227" right="0.19685039370078741" top="0.39370078740157483" bottom="0.39370078740157483" header="0" footer="0"/>
  <pageSetup paperSize="9" orientation="portrait" r:id="rId4"/>
  <headerFooter alignWithMargins="0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05"/>
  <sheetViews>
    <sheetView view="pageBreakPreview" topLeftCell="A196" zoomScale="120" zoomScaleSheetLayoutView="120" workbookViewId="0">
      <selection activeCell="E154" sqref="E154"/>
    </sheetView>
  </sheetViews>
  <sheetFormatPr defaultRowHeight="12.75" x14ac:dyDescent="0.2"/>
  <cols>
    <col min="1" max="1" width="7.7109375" customWidth="1"/>
    <col min="2" max="2" width="23.7109375" customWidth="1"/>
    <col min="3" max="3" width="14.7109375" customWidth="1"/>
    <col min="4" max="4" width="10.7109375" customWidth="1"/>
    <col min="5" max="5" width="11.140625" customWidth="1"/>
    <col min="6" max="6" width="10.5703125" customWidth="1"/>
    <col min="7" max="7" width="12.85546875" customWidth="1"/>
    <col min="8" max="8" width="0.140625" customWidth="1"/>
    <col min="9" max="13" width="9.140625" hidden="1" customWidth="1"/>
    <col min="14" max="14" width="0.140625" customWidth="1"/>
    <col min="15" max="15" width="11.28515625" customWidth="1"/>
  </cols>
  <sheetData>
    <row r="1" spans="1:8" ht="16.5" customHeight="1" x14ac:dyDescent="0.2">
      <c r="C1" s="811" t="s">
        <v>495</v>
      </c>
      <c r="D1" s="812"/>
      <c r="E1" s="812"/>
    </row>
    <row r="2" spans="1:8" ht="13.5" thickBot="1" x14ac:dyDescent="0.25">
      <c r="A2" s="1" t="s">
        <v>736</v>
      </c>
      <c r="B2" s="1"/>
      <c r="C2" s="1"/>
      <c r="E2" s="838" t="s">
        <v>2035</v>
      </c>
      <c r="F2" s="838"/>
    </row>
    <row r="3" spans="1:8" ht="13.5" customHeight="1" thickBot="1" x14ac:dyDescent="0.25">
      <c r="A3" s="816" t="s">
        <v>1116</v>
      </c>
      <c r="B3" s="814" t="s">
        <v>481</v>
      </c>
      <c r="C3" s="814" t="s">
        <v>1</v>
      </c>
      <c r="D3" s="814" t="s">
        <v>2</v>
      </c>
      <c r="E3" s="814"/>
      <c r="F3" s="814" t="s">
        <v>5</v>
      </c>
    </row>
    <row r="4" spans="1:8" ht="13.5" thickBot="1" x14ac:dyDescent="0.25">
      <c r="A4" s="817"/>
      <c r="B4" s="814"/>
      <c r="C4" s="814"/>
      <c r="D4" s="814"/>
      <c r="E4" s="814"/>
      <c r="F4" s="814"/>
    </row>
    <row r="5" spans="1:8" ht="13.5" thickBot="1" x14ac:dyDescent="0.25">
      <c r="A5" s="818"/>
      <c r="B5" s="814"/>
      <c r="C5" s="814"/>
      <c r="D5" s="109" t="s">
        <v>6</v>
      </c>
      <c r="E5" s="110" t="s">
        <v>7</v>
      </c>
      <c r="F5" s="814"/>
    </row>
    <row r="6" spans="1:8" ht="15" customHeight="1" thickBot="1" x14ac:dyDescent="0.25">
      <c r="A6" s="172" t="s">
        <v>737</v>
      </c>
      <c r="B6" s="613" t="s">
        <v>1174</v>
      </c>
      <c r="C6" s="624" t="s">
        <v>1812</v>
      </c>
      <c r="D6" s="151">
        <v>16305</v>
      </c>
      <c r="E6" s="151">
        <v>16590</v>
      </c>
      <c r="F6" s="151">
        <f>E6-D6</f>
        <v>285</v>
      </c>
      <c r="G6" s="281"/>
    </row>
    <row r="7" spans="1:8" ht="15" customHeight="1" thickBot="1" x14ac:dyDescent="0.25">
      <c r="A7" s="23" t="s">
        <v>738</v>
      </c>
      <c r="B7" s="619" t="s">
        <v>2028</v>
      </c>
      <c r="C7" s="606" t="s">
        <v>1471</v>
      </c>
      <c r="D7" s="173">
        <v>6175</v>
      </c>
      <c r="E7" s="173">
        <v>6205</v>
      </c>
      <c r="F7" s="151">
        <f>E7-D7</f>
        <v>30</v>
      </c>
      <c r="G7" s="282"/>
    </row>
    <row r="8" spans="1:8" ht="15" customHeight="1" thickBot="1" x14ac:dyDescent="0.25">
      <c r="A8" s="23" t="s">
        <v>739</v>
      </c>
      <c r="B8" s="613" t="s">
        <v>1950</v>
      </c>
      <c r="C8" s="623" t="s">
        <v>1813</v>
      </c>
      <c r="D8" s="173">
        <v>23050</v>
      </c>
      <c r="E8" s="173">
        <v>23675</v>
      </c>
      <c r="F8" s="151">
        <f>E8-D8</f>
        <v>625</v>
      </c>
    </row>
    <row r="9" spans="1:8" ht="15" customHeight="1" thickBot="1" x14ac:dyDescent="0.25">
      <c r="A9" s="520" t="s">
        <v>740</v>
      </c>
      <c r="B9" s="619" t="s">
        <v>233</v>
      </c>
      <c r="C9" s="625" t="s">
        <v>1562</v>
      </c>
      <c r="D9" s="173">
        <v>14205</v>
      </c>
      <c r="E9" s="173">
        <v>14415</v>
      </c>
      <c r="F9" s="151">
        <f>E9-D9</f>
        <v>210</v>
      </c>
      <c r="G9" s="516"/>
    </row>
    <row r="10" spans="1:8" ht="15" customHeight="1" thickBot="1" x14ac:dyDescent="0.25">
      <c r="A10" s="160" t="s">
        <v>741</v>
      </c>
      <c r="B10" s="613" t="s">
        <v>1175</v>
      </c>
      <c r="C10" s="623" t="s">
        <v>1814</v>
      </c>
      <c r="D10" s="151">
        <v>24370</v>
      </c>
      <c r="E10" s="151">
        <v>24620</v>
      </c>
      <c r="F10" s="151">
        <f t="shared" ref="F10:F34" si="0">E10-D10</f>
        <v>250</v>
      </c>
      <c r="G10" s="294"/>
    </row>
    <row r="11" spans="1:8" ht="15" customHeight="1" thickBot="1" x14ac:dyDescent="0.25">
      <c r="A11" s="149" t="s">
        <v>742</v>
      </c>
      <c r="B11" s="619" t="s">
        <v>1176</v>
      </c>
      <c r="C11" s="606" t="s">
        <v>1815</v>
      </c>
      <c r="D11" s="173">
        <v>46200</v>
      </c>
      <c r="E11" s="173">
        <v>46260</v>
      </c>
      <c r="F11" s="151">
        <f t="shared" si="0"/>
        <v>60</v>
      </c>
      <c r="G11" s="294"/>
    </row>
    <row r="12" spans="1:8" ht="15" customHeight="1" thickBot="1" x14ac:dyDescent="0.25">
      <c r="A12" s="23" t="s">
        <v>743</v>
      </c>
      <c r="B12" s="613" t="s">
        <v>1177</v>
      </c>
      <c r="C12" s="626" t="s">
        <v>1567</v>
      </c>
      <c r="D12" s="173">
        <v>24200</v>
      </c>
      <c r="E12" s="173">
        <v>24385</v>
      </c>
      <c r="F12" s="151">
        <f t="shared" ref="F12" si="1">E12-D12</f>
        <v>185</v>
      </c>
      <c r="G12" s="516"/>
    </row>
    <row r="13" spans="1:8" ht="15" customHeight="1" thickBot="1" x14ac:dyDescent="0.25">
      <c r="A13" s="23" t="s">
        <v>744</v>
      </c>
      <c r="B13" s="619" t="s">
        <v>1178</v>
      </c>
      <c r="C13" s="625" t="s">
        <v>1816</v>
      </c>
      <c r="D13" s="173">
        <v>15230</v>
      </c>
      <c r="E13" s="173">
        <v>15340</v>
      </c>
      <c r="F13" s="151">
        <f t="shared" si="0"/>
        <v>110</v>
      </c>
    </row>
    <row r="14" spans="1:8" ht="15" customHeight="1" thickBot="1" x14ac:dyDescent="0.25">
      <c r="A14" s="149" t="s">
        <v>745</v>
      </c>
      <c r="B14" s="613" t="s">
        <v>1179</v>
      </c>
      <c r="C14" s="608" t="s">
        <v>2015</v>
      </c>
      <c r="D14" s="173">
        <v>950</v>
      </c>
      <c r="E14" s="173">
        <v>1100</v>
      </c>
      <c r="F14" s="574">
        <f>E14-D14</f>
        <v>150</v>
      </c>
      <c r="G14" s="694"/>
    </row>
    <row r="15" spans="1:8" ht="15" customHeight="1" thickBot="1" x14ac:dyDescent="0.25">
      <c r="A15" s="174" t="s">
        <v>746</v>
      </c>
      <c r="B15" s="619" t="s">
        <v>1805</v>
      </c>
      <c r="C15" s="589" t="s">
        <v>1817</v>
      </c>
      <c r="D15" s="151">
        <v>20310</v>
      </c>
      <c r="E15" s="151">
        <v>20315</v>
      </c>
      <c r="F15" s="151">
        <f t="shared" si="0"/>
        <v>5</v>
      </c>
      <c r="G15" s="346">
        <v>160</v>
      </c>
      <c r="H15" s="139"/>
    </row>
    <row r="16" spans="1:8" ht="15" customHeight="1" thickBot="1" x14ac:dyDescent="0.25">
      <c r="A16" s="149" t="s">
        <v>747</v>
      </c>
      <c r="B16" s="613" t="s">
        <v>1180</v>
      </c>
      <c r="C16" s="626" t="s">
        <v>1616</v>
      </c>
      <c r="D16" s="151">
        <v>8700</v>
      </c>
      <c r="E16" s="151">
        <v>8805</v>
      </c>
      <c r="F16" s="151">
        <f t="shared" ref="F16" si="2">E16-D16</f>
        <v>105</v>
      </c>
      <c r="G16" s="126"/>
    </row>
    <row r="17" spans="1:15" ht="15" customHeight="1" thickBot="1" x14ac:dyDescent="0.25">
      <c r="A17" s="23" t="s">
        <v>748</v>
      </c>
      <c r="B17" s="619" t="s">
        <v>1181</v>
      </c>
      <c r="C17" s="625" t="s">
        <v>939</v>
      </c>
      <c r="D17" s="151">
        <v>34560</v>
      </c>
      <c r="E17" s="151">
        <v>34630</v>
      </c>
      <c r="F17" s="151">
        <f t="shared" si="0"/>
        <v>70</v>
      </c>
      <c r="G17" s="238"/>
    </row>
    <row r="18" spans="1:15" ht="15" customHeight="1" thickBot="1" x14ac:dyDescent="0.25">
      <c r="A18" s="149" t="s">
        <v>749</v>
      </c>
      <c r="B18" s="613" t="s">
        <v>1182</v>
      </c>
      <c r="C18" s="626" t="s">
        <v>1596</v>
      </c>
      <c r="D18" s="151">
        <v>21240</v>
      </c>
      <c r="E18" s="151">
        <v>21400</v>
      </c>
      <c r="F18" s="151">
        <f t="shared" ref="F18" si="3">E18-D18</f>
        <v>160</v>
      </c>
    </row>
    <row r="19" spans="1:15" ht="15" customHeight="1" thickBot="1" x14ac:dyDescent="0.25">
      <c r="A19" s="149" t="s">
        <v>750</v>
      </c>
      <c r="B19" s="619" t="s">
        <v>1183</v>
      </c>
      <c r="C19" s="625" t="s">
        <v>1657</v>
      </c>
      <c r="D19" s="151">
        <v>17285</v>
      </c>
      <c r="E19" s="151">
        <v>17430</v>
      </c>
      <c r="F19" s="151">
        <f t="shared" ref="F19" si="4">E19-D19</f>
        <v>145</v>
      </c>
      <c r="G19" s="570"/>
    </row>
    <row r="20" spans="1:15" ht="15" customHeight="1" thickBot="1" x14ac:dyDescent="0.25">
      <c r="A20" s="23" t="s">
        <v>751</v>
      </c>
      <c r="B20" s="613" t="s">
        <v>1184</v>
      </c>
      <c r="C20" s="626" t="s">
        <v>1725</v>
      </c>
      <c r="D20" s="151">
        <v>59754</v>
      </c>
      <c r="E20" s="151">
        <v>60120</v>
      </c>
      <c r="F20" s="151">
        <f t="shared" si="0"/>
        <v>366</v>
      </c>
      <c r="G20" s="184"/>
    </row>
    <row r="21" spans="1:15" ht="15" customHeight="1" thickBot="1" x14ac:dyDescent="0.25">
      <c r="A21" s="149" t="s">
        <v>752</v>
      </c>
      <c r="B21" s="619" t="s">
        <v>1185</v>
      </c>
      <c r="C21" s="625" t="s">
        <v>940</v>
      </c>
      <c r="D21" s="151">
        <v>72640</v>
      </c>
      <c r="E21" s="151">
        <v>72800</v>
      </c>
      <c r="F21" s="151">
        <f t="shared" si="0"/>
        <v>160</v>
      </c>
      <c r="G21" s="32"/>
    </row>
    <row r="22" spans="1:15" ht="15" customHeight="1" thickBot="1" x14ac:dyDescent="0.25">
      <c r="A22" s="149" t="s">
        <v>753</v>
      </c>
      <c r="B22" s="613" t="s">
        <v>1186</v>
      </c>
      <c r="C22" s="626" t="s">
        <v>1818</v>
      </c>
      <c r="D22" s="151">
        <v>57260</v>
      </c>
      <c r="E22" s="151">
        <v>57495</v>
      </c>
      <c r="F22" s="151">
        <f t="shared" si="0"/>
        <v>235</v>
      </c>
      <c r="G22" s="32"/>
    </row>
    <row r="23" spans="1:15" ht="15" customHeight="1" thickBot="1" x14ac:dyDescent="0.25">
      <c r="A23" s="149" t="s">
        <v>754</v>
      </c>
      <c r="B23" s="619" t="s">
        <v>1187</v>
      </c>
      <c r="C23" s="625" t="s">
        <v>1819</v>
      </c>
      <c r="D23" s="151">
        <v>13876</v>
      </c>
      <c r="E23" s="151">
        <v>14225</v>
      </c>
      <c r="F23" s="151">
        <f t="shared" si="0"/>
        <v>349</v>
      </c>
      <c r="G23" s="32"/>
    </row>
    <row r="24" spans="1:15" ht="15" customHeight="1" thickBot="1" x14ac:dyDescent="0.25">
      <c r="A24" s="149" t="s">
        <v>1550</v>
      </c>
      <c r="B24" s="613" t="s">
        <v>1188</v>
      </c>
      <c r="C24" s="626" t="s">
        <v>1538</v>
      </c>
      <c r="D24" s="151">
        <v>10055</v>
      </c>
      <c r="E24" s="151">
        <v>10310</v>
      </c>
      <c r="F24" s="151">
        <f t="shared" ref="F24" si="5">E24-D24</f>
        <v>255</v>
      </c>
      <c r="G24" s="126"/>
    </row>
    <row r="25" spans="1:15" ht="15" customHeight="1" thickBot="1" x14ac:dyDescent="0.25">
      <c r="A25" s="149" t="s">
        <v>755</v>
      </c>
      <c r="B25" s="619" t="s">
        <v>1189</v>
      </c>
      <c r="C25" s="606" t="s">
        <v>1820</v>
      </c>
      <c r="D25" s="151">
        <v>14560</v>
      </c>
      <c r="E25" s="151">
        <v>14560</v>
      </c>
      <c r="F25" s="151">
        <f t="shared" si="0"/>
        <v>0</v>
      </c>
      <c r="G25" s="182" t="s">
        <v>942</v>
      </c>
    </row>
    <row r="26" spans="1:15" ht="15" customHeight="1" thickBot="1" x14ac:dyDescent="0.25">
      <c r="A26" s="23" t="s">
        <v>756</v>
      </c>
      <c r="B26" s="613" t="s">
        <v>1190</v>
      </c>
      <c r="C26" s="607" t="s">
        <v>1387</v>
      </c>
      <c r="D26" s="151">
        <v>10160</v>
      </c>
      <c r="E26" s="151">
        <v>10230</v>
      </c>
      <c r="F26" s="151">
        <f>E26-D26</f>
        <v>70</v>
      </c>
      <c r="G26" s="350"/>
    </row>
    <row r="27" spans="1:15" ht="15" customHeight="1" thickBot="1" x14ac:dyDescent="0.25">
      <c r="A27" s="149" t="s">
        <v>757</v>
      </c>
      <c r="B27" s="631" t="s">
        <v>1678</v>
      </c>
      <c r="C27" s="690" t="s">
        <v>1966</v>
      </c>
      <c r="D27" s="151">
        <v>7330</v>
      </c>
      <c r="E27" s="151">
        <v>7475</v>
      </c>
      <c r="F27" s="151">
        <f t="shared" ref="F27" si="6">E27-D27</f>
        <v>145</v>
      </c>
      <c r="G27" s="178"/>
      <c r="O27" s="657"/>
    </row>
    <row r="28" spans="1:15" ht="15" customHeight="1" thickBot="1" x14ac:dyDescent="0.25">
      <c r="A28" s="23" t="s">
        <v>758</v>
      </c>
      <c r="B28" s="689" t="s">
        <v>1191</v>
      </c>
      <c r="C28" s="594" t="s">
        <v>1513</v>
      </c>
      <c r="D28" s="151">
        <v>8810</v>
      </c>
      <c r="E28" s="151">
        <v>9050</v>
      </c>
      <c r="F28" s="151">
        <f t="shared" ref="F28" si="7">E28-D28</f>
        <v>240</v>
      </c>
      <c r="G28" s="143" t="s">
        <v>1512</v>
      </c>
    </row>
    <row r="29" spans="1:15" ht="15" customHeight="1" thickBot="1" x14ac:dyDescent="0.25">
      <c r="A29" s="149" t="s">
        <v>759</v>
      </c>
      <c r="B29" s="619" t="s">
        <v>1806</v>
      </c>
      <c r="C29" s="606" t="s">
        <v>1622</v>
      </c>
      <c r="D29" s="22">
        <v>28600</v>
      </c>
      <c r="E29" s="22">
        <v>28885</v>
      </c>
      <c r="F29" s="151">
        <f t="shared" ref="F29" si="8">E29-D29</f>
        <v>285</v>
      </c>
      <c r="G29" s="178" t="s">
        <v>1623</v>
      </c>
    </row>
    <row r="30" spans="1:15" ht="15" customHeight="1" thickBot="1" x14ac:dyDescent="0.25">
      <c r="A30" s="149" t="s">
        <v>760</v>
      </c>
      <c r="B30" s="613" t="s">
        <v>1192</v>
      </c>
      <c r="C30" s="607" t="s">
        <v>996</v>
      </c>
      <c r="D30" s="22">
        <v>65870</v>
      </c>
      <c r="E30" s="22">
        <v>66325</v>
      </c>
      <c r="F30" s="151">
        <f t="shared" si="0"/>
        <v>455</v>
      </c>
      <c r="G30" s="143" t="s">
        <v>995</v>
      </c>
    </row>
    <row r="31" spans="1:15" ht="15" customHeight="1" thickBot="1" x14ac:dyDescent="0.25">
      <c r="A31" s="149" t="s">
        <v>761</v>
      </c>
      <c r="B31" s="619" t="s">
        <v>1259</v>
      </c>
      <c r="C31" s="593" t="s">
        <v>1458</v>
      </c>
      <c r="D31" s="22">
        <v>23760</v>
      </c>
      <c r="E31" s="22">
        <v>24000</v>
      </c>
      <c r="F31" s="151">
        <f t="shared" ref="F31" si="9">E31-D31</f>
        <v>240</v>
      </c>
      <c r="G31" s="180"/>
    </row>
    <row r="32" spans="1:15" ht="15" customHeight="1" thickBot="1" x14ac:dyDescent="0.25">
      <c r="A32" s="23" t="s">
        <v>762</v>
      </c>
      <c r="B32" s="613" t="s">
        <v>1193</v>
      </c>
      <c r="C32" s="607" t="s">
        <v>1821</v>
      </c>
      <c r="D32" s="151">
        <v>20820</v>
      </c>
      <c r="E32" s="151">
        <v>20915</v>
      </c>
      <c r="F32" s="151">
        <f t="shared" si="0"/>
        <v>95</v>
      </c>
      <c r="G32" s="139"/>
    </row>
    <row r="33" spans="1:7" ht="15" customHeight="1" thickBot="1" x14ac:dyDescent="0.25">
      <c r="A33" s="174" t="s">
        <v>763</v>
      </c>
      <c r="B33" s="619" t="s">
        <v>1194</v>
      </c>
      <c r="C33" s="606" t="s">
        <v>1031</v>
      </c>
      <c r="D33" s="151">
        <v>56930</v>
      </c>
      <c r="E33" s="151">
        <v>57020</v>
      </c>
      <c r="F33" s="151">
        <f t="shared" si="0"/>
        <v>90</v>
      </c>
      <c r="G33" s="182" t="s">
        <v>942</v>
      </c>
    </row>
    <row r="34" spans="1:7" ht="15" customHeight="1" thickBot="1" x14ac:dyDescent="0.25">
      <c r="A34" s="23" t="s">
        <v>764</v>
      </c>
      <c r="B34" s="613" t="s">
        <v>1350</v>
      </c>
      <c r="C34" s="597" t="s">
        <v>1640</v>
      </c>
      <c r="D34" s="22">
        <v>15460</v>
      </c>
      <c r="E34" s="22">
        <v>15600</v>
      </c>
      <c r="F34" s="151">
        <f t="shared" si="0"/>
        <v>140</v>
      </c>
      <c r="G34" s="321"/>
    </row>
    <row r="35" spans="1:7" ht="15" customHeight="1" thickBot="1" x14ac:dyDescent="0.25">
      <c r="A35" s="149" t="s">
        <v>765</v>
      </c>
      <c r="B35" s="619" t="s">
        <v>1807</v>
      </c>
      <c r="C35" s="606" t="s">
        <v>1822</v>
      </c>
      <c r="D35" s="22">
        <v>12230</v>
      </c>
      <c r="E35" s="22">
        <v>12440</v>
      </c>
      <c r="F35" s="151">
        <f>E35-D35</f>
        <v>210</v>
      </c>
      <c r="G35" s="180"/>
    </row>
    <row r="36" spans="1:7" ht="15" customHeight="1" thickBot="1" x14ac:dyDescent="0.25">
      <c r="A36" s="23" t="s">
        <v>766</v>
      </c>
      <c r="B36" s="613" t="s">
        <v>1195</v>
      </c>
      <c r="C36" s="607" t="s">
        <v>1032</v>
      </c>
      <c r="D36" s="22">
        <v>73580</v>
      </c>
      <c r="E36" s="22">
        <v>73975</v>
      </c>
      <c r="F36" s="151">
        <f t="shared" ref="F36:F50" si="10">E36-D36</f>
        <v>395</v>
      </c>
      <c r="G36" s="183"/>
    </row>
    <row r="37" spans="1:7" ht="15" customHeight="1" thickBot="1" x14ac:dyDescent="0.25">
      <c r="A37" s="149" t="s">
        <v>767</v>
      </c>
      <c r="B37" s="619" t="s">
        <v>1196</v>
      </c>
      <c r="C37" s="606" t="s">
        <v>1823</v>
      </c>
      <c r="D37" s="22">
        <v>30455</v>
      </c>
      <c r="E37" s="22">
        <v>30715</v>
      </c>
      <c r="F37" s="151">
        <f t="shared" si="10"/>
        <v>260</v>
      </c>
      <c r="G37" s="229"/>
    </row>
    <row r="38" spans="1:7" ht="15" customHeight="1" thickBot="1" x14ac:dyDescent="0.25">
      <c r="A38" s="23" t="s">
        <v>768</v>
      </c>
      <c r="B38" s="613" t="s">
        <v>1197</v>
      </c>
      <c r="C38" s="607" t="s">
        <v>769</v>
      </c>
      <c r="D38" s="22">
        <v>96995</v>
      </c>
      <c r="E38" s="22">
        <v>97540</v>
      </c>
      <c r="F38" s="151">
        <f t="shared" si="10"/>
        <v>545</v>
      </c>
      <c r="G38" s="180"/>
    </row>
    <row r="39" spans="1:7" ht="15" customHeight="1" thickBot="1" x14ac:dyDescent="0.25">
      <c r="A39" s="149" t="s">
        <v>770</v>
      </c>
      <c r="B39" s="619" t="s">
        <v>1198</v>
      </c>
      <c r="C39" s="625" t="s">
        <v>1617</v>
      </c>
      <c r="D39" s="151">
        <v>14775</v>
      </c>
      <c r="E39" s="151">
        <v>14920</v>
      </c>
      <c r="F39" s="151">
        <f t="shared" ref="F39" si="11">E39-D39</f>
        <v>145</v>
      </c>
      <c r="G39" s="178"/>
    </row>
    <row r="40" spans="1:7" ht="13.5" customHeight="1" thickBot="1" x14ac:dyDescent="0.25">
      <c r="A40" s="23" t="s">
        <v>771</v>
      </c>
      <c r="B40" s="613" t="s">
        <v>1199</v>
      </c>
      <c r="C40" s="600" t="s">
        <v>772</v>
      </c>
      <c r="D40" s="151">
        <v>67425</v>
      </c>
      <c r="E40" s="151">
        <v>67665</v>
      </c>
      <c r="F40" s="151">
        <f t="shared" si="10"/>
        <v>240</v>
      </c>
      <c r="G40" s="180"/>
    </row>
    <row r="41" spans="1:7" ht="14.25" customHeight="1" thickBot="1" x14ac:dyDescent="0.25">
      <c r="A41" s="149" t="s">
        <v>773</v>
      </c>
      <c r="B41" s="629" t="s">
        <v>1200</v>
      </c>
      <c r="C41" s="601" t="s">
        <v>1824</v>
      </c>
      <c r="D41" s="151">
        <v>21475</v>
      </c>
      <c r="E41" s="151">
        <v>21645</v>
      </c>
      <c r="F41" s="151">
        <f>E41-D41</f>
        <v>170</v>
      </c>
      <c r="G41" s="180"/>
    </row>
    <row r="42" spans="1:7" ht="15" customHeight="1" thickBot="1" x14ac:dyDescent="0.25">
      <c r="A42" s="155" t="s">
        <v>774</v>
      </c>
      <c r="B42" s="613" t="s">
        <v>1201</v>
      </c>
      <c r="C42" s="600" t="s">
        <v>1825</v>
      </c>
      <c r="D42" s="151">
        <v>110820</v>
      </c>
      <c r="E42" s="151">
        <v>111540</v>
      </c>
      <c r="F42" s="151">
        <f t="shared" si="10"/>
        <v>720</v>
      </c>
      <c r="G42" s="181" t="s">
        <v>775</v>
      </c>
    </row>
    <row r="43" spans="1:7" ht="15" customHeight="1" thickBot="1" x14ac:dyDescent="0.25">
      <c r="A43" s="149" t="s">
        <v>776</v>
      </c>
      <c r="B43" s="619" t="s">
        <v>1202</v>
      </c>
      <c r="C43" s="601" t="s">
        <v>1463</v>
      </c>
      <c r="D43" s="151">
        <v>16680</v>
      </c>
      <c r="E43" s="151">
        <v>16845</v>
      </c>
      <c r="F43" s="151">
        <f t="shared" ref="F43" si="12">E43-D43</f>
        <v>165</v>
      </c>
      <c r="G43" s="180"/>
    </row>
    <row r="44" spans="1:7" ht="15" customHeight="1" thickBot="1" x14ac:dyDescent="0.25">
      <c r="A44" s="149" t="s">
        <v>777</v>
      </c>
      <c r="B44" s="613" t="s">
        <v>1808</v>
      </c>
      <c r="C44" s="607" t="s">
        <v>997</v>
      </c>
      <c r="D44" s="22">
        <v>23845</v>
      </c>
      <c r="E44" s="22">
        <v>23870</v>
      </c>
      <c r="F44" s="151">
        <f t="shared" si="10"/>
        <v>25</v>
      </c>
      <c r="G44" s="143" t="s">
        <v>995</v>
      </c>
    </row>
    <row r="45" spans="1:7" ht="15" customHeight="1" thickBot="1" x14ac:dyDescent="0.25">
      <c r="A45" s="149" t="s">
        <v>778</v>
      </c>
      <c r="B45" s="619" t="s">
        <v>1203</v>
      </c>
      <c r="C45" s="625" t="s">
        <v>1639</v>
      </c>
      <c r="D45" s="151">
        <v>22495</v>
      </c>
      <c r="E45" s="151">
        <v>22560</v>
      </c>
      <c r="F45" s="151">
        <f t="shared" si="10"/>
        <v>65</v>
      </c>
      <c r="G45" s="308"/>
    </row>
    <row r="46" spans="1:7" ht="15" customHeight="1" thickBot="1" x14ac:dyDescent="0.25">
      <c r="A46" s="23" t="s">
        <v>779</v>
      </c>
      <c r="B46" s="613" t="s">
        <v>1204</v>
      </c>
      <c r="C46" s="606" t="s">
        <v>1992</v>
      </c>
      <c r="D46" s="158">
        <v>1805</v>
      </c>
      <c r="E46" s="158">
        <v>1900</v>
      </c>
      <c r="F46" s="151">
        <f t="shared" ref="F46" si="13">E46-D46</f>
        <v>95</v>
      </c>
      <c r="G46" s="685"/>
    </row>
    <row r="47" spans="1:7" ht="15" customHeight="1" thickBot="1" x14ac:dyDescent="0.25">
      <c r="A47" s="158" t="s">
        <v>780</v>
      </c>
      <c r="B47" s="619" t="s">
        <v>1205</v>
      </c>
      <c r="C47" s="718" t="s">
        <v>1655</v>
      </c>
      <c r="D47" s="158">
        <v>15520</v>
      </c>
      <c r="E47" s="158">
        <v>15910</v>
      </c>
      <c r="F47" s="151">
        <f t="shared" ref="F47" si="14">E47-D47</f>
        <v>390</v>
      </c>
      <c r="G47" s="180"/>
    </row>
    <row r="48" spans="1:7" ht="15" customHeight="1" thickBot="1" x14ac:dyDescent="0.25">
      <c r="A48" s="22">
        <v>43</v>
      </c>
      <c r="B48" s="613" t="s">
        <v>1206</v>
      </c>
      <c r="C48" s="594" t="s">
        <v>1826</v>
      </c>
      <c r="D48" s="158">
        <v>28215</v>
      </c>
      <c r="E48" s="158">
        <v>28415</v>
      </c>
      <c r="F48" s="151">
        <f t="shared" si="10"/>
        <v>200</v>
      </c>
      <c r="G48" s="314"/>
    </row>
    <row r="49" spans="1:15" ht="15.75" customHeight="1" thickBot="1" x14ac:dyDescent="0.25">
      <c r="A49" s="22">
        <v>44</v>
      </c>
      <c r="B49" s="619" t="s">
        <v>1207</v>
      </c>
      <c r="C49" s="601" t="s">
        <v>1827</v>
      </c>
      <c r="D49" s="151">
        <v>37045</v>
      </c>
      <c r="E49" s="151">
        <v>37170</v>
      </c>
      <c r="F49" s="151">
        <f t="shared" si="10"/>
        <v>125</v>
      </c>
      <c r="G49" s="505"/>
      <c r="M49" t="s">
        <v>1352</v>
      </c>
    </row>
    <row r="50" spans="1:15" ht="15" customHeight="1" thickBot="1" x14ac:dyDescent="0.25">
      <c r="A50" s="21">
        <v>45</v>
      </c>
      <c r="B50" s="613" t="s">
        <v>1208</v>
      </c>
      <c r="C50" s="607" t="s">
        <v>1828</v>
      </c>
      <c r="D50" s="22">
        <v>22105</v>
      </c>
      <c r="E50" s="22">
        <v>22620</v>
      </c>
      <c r="F50" s="151">
        <f t="shared" si="10"/>
        <v>515</v>
      </c>
      <c r="G50" s="180"/>
    </row>
    <row r="51" spans="1:15" ht="15" customHeight="1" thickBot="1" x14ac:dyDescent="0.25">
      <c r="A51" s="30" t="s">
        <v>781</v>
      </c>
      <c r="B51" s="619" t="s">
        <v>1809</v>
      </c>
      <c r="C51" s="606" t="s">
        <v>1981</v>
      </c>
      <c r="D51" s="151">
        <v>5530</v>
      </c>
      <c r="E51" s="151">
        <v>5695</v>
      </c>
      <c r="F51" s="151">
        <f t="shared" ref="F51" si="15">E51-D51</f>
        <v>165</v>
      </c>
      <c r="G51" s="694"/>
    </row>
    <row r="52" spans="1:15" ht="16.5" customHeight="1" thickBot="1" x14ac:dyDescent="0.25">
      <c r="A52" s="21">
        <v>47</v>
      </c>
      <c r="B52" s="613" t="s">
        <v>1068</v>
      </c>
      <c r="C52" s="607" t="s">
        <v>1829</v>
      </c>
      <c r="D52" s="151">
        <v>25700</v>
      </c>
      <c r="E52" s="151">
        <v>26300</v>
      </c>
      <c r="F52" s="151">
        <f t="shared" ref="F52:F72" si="16">E52-D52</f>
        <v>600</v>
      </c>
      <c r="G52" s="182" t="s">
        <v>782</v>
      </c>
    </row>
    <row r="53" spans="1:15" ht="15" customHeight="1" thickBot="1" x14ac:dyDescent="0.25">
      <c r="A53" s="22">
        <v>48</v>
      </c>
      <c r="B53" s="619" t="s">
        <v>1209</v>
      </c>
      <c r="C53" s="601" t="s">
        <v>1830</v>
      </c>
      <c r="D53" s="151">
        <v>37750</v>
      </c>
      <c r="E53" s="151">
        <v>37940</v>
      </c>
      <c r="F53" s="151">
        <f t="shared" si="16"/>
        <v>190</v>
      </c>
    </row>
    <row r="54" spans="1:15" ht="15" customHeight="1" thickBot="1" x14ac:dyDescent="0.25">
      <c r="A54" s="21">
        <v>49</v>
      </c>
      <c r="B54" s="613" t="s">
        <v>1810</v>
      </c>
      <c r="C54" s="594" t="s">
        <v>1831</v>
      </c>
      <c r="D54" s="151">
        <v>46655</v>
      </c>
      <c r="E54" s="151">
        <v>46820</v>
      </c>
      <c r="F54" s="151">
        <f t="shared" si="16"/>
        <v>165</v>
      </c>
    </row>
    <row r="55" spans="1:15" ht="15" customHeight="1" thickBot="1" x14ac:dyDescent="0.25">
      <c r="A55" s="22">
        <v>50</v>
      </c>
      <c r="B55" s="613" t="s">
        <v>1210</v>
      </c>
      <c r="C55" s="593" t="s">
        <v>1832</v>
      </c>
      <c r="D55" s="151">
        <v>12085</v>
      </c>
      <c r="E55" s="151">
        <v>12295</v>
      </c>
      <c r="F55" s="151">
        <f t="shared" si="16"/>
        <v>210</v>
      </c>
      <c r="G55" s="32"/>
    </row>
    <row r="56" spans="1:15" ht="15.75" customHeight="1" thickBot="1" x14ac:dyDescent="0.25">
      <c r="A56" s="141" t="s">
        <v>783</v>
      </c>
      <c r="B56" s="613" t="s">
        <v>1211</v>
      </c>
      <c r="C56" s="592" t="s">
        <v>1833</v>
      </c>
      <c r="D56" s="275">
        <v>275985</v>
      </c>
      <c r="E56" s="275">
        <v>276650</v>
      </c>
      <c r="F56" s="22">
        <f t="shared" si="16"/>
        <v>665</v>
      </c>
    </row>
    <row r="57" spans="1:15" ht="15" customHeight="1" thickBot="1" x14ac:dyDescent="0.25">
      <c r="A57" s="23" t="s">
        <v>784</v>
      </c>
      <c r="B57" s="619" t="s">
        <v>1212</v>
      </c>
      <c r="C57" s="591" t="s">
        <v>1834</v>
      </c>
      <c r="D57" s="151">
        <v>36375</v>
      </c>
      <c r="E57" s="151">
        <v>36610</v>
      </c>
      <c r="F57" s="151">
        <f t="shared" si="16"/>
        <v>235</v>
      </c>
    </row>
    <row r="58" spans="1:15" ht="15" customHeight="1" thickBot="1" x14ac:dyDescent="0.25">
      <c r="A58" s="160" t="s">
        <v>785</v>
      </c>
      <c r="B58" s="613" t="s">
        <v>1213</v>
      </c>
      <c r="C58" s="591" t="s">
        <v>1962</v>
      </c>
      <c r="D58" s="25">
        <v>15455</v>
      </c>
      <c r="E58" s="25">
        <v>16140</v>
      </c>
      <c r="F58" s="151">
        <f t="shared" ref="F58" si="17">E58-D58</f>
        <v>685</v>
      </c>
      <c r="G58" s="296"/>
      <c r="O58" s="106"/>
    </row>
    <row r="59" spans="1:15" ht="15" customHeight="1" thickBot="1" x14ac:dyDescent="0.25">
      <c r="A59" s="160" t="s">
        <v>786</v>
      </c>
      <c r="B59" s="619" t="s">
        <v>2024</v>
      </c>
      <c r="C59" s="591" t="s">
        <v>1835</v>
      </c>
      <c r="D59" s="25"/>
      <c r="E59" s="25"/>
      <c r="F59" s="562">
        <v>96</v>
      </c>
      <c r="G59" s="178">
        <v>67205</v>
      </c>
    </row>
    <row r="60" spans="1:15" ht="15" customHeight="1" thickBot="1" x14ac:dyDescent="0.25">
      <c r="A60" s="160" t="s">
        <v>787</v>
      </c>
      <c r="B60" s="613" t="s">
        <v>1214</v>
      </c>
      <c r="C60" s="594" t="s">
        <v>1836</v>
      </c>
      <c r="D60" s="574"/>
      <c r="E60" s="574"/>
      <c r="F60" s="562">
        <v>176</v>
      </c>
      <c r="G60" s="694">
        <v>37120</v>
      </c>
    </row>
    <row r="61" spans="1:15" ht="15" customHeight="1" thickBot="1" x14ac:dyDescent="0.25">
      <c r="A61" s="23" t="s">
        <v>789</v>
      </c>
      <c r="B61" s="619" t="s">
        <v>1215</v>
      </c>
      <c r="C61" s="593" t="s">
        <v>1935</v>
      </c>
      <c r="D61" s="21">
        <v>5590</v>
      </c>
      <c r="E61" s="21">
        <v>5845</v>
      </c>
      <c r="F61" s="151">
        <f t="shared" ref="F61" si="18">E61-D61</f>
        <v>255</v>
      </c>
      <c r="G61" s="182" t="s">
        <v>788</v>
      </c>
    </row>
    <row r="62" spans="1:15" ht="15" customHeight="1" thickBot="1" x14ac:dyDescent="0.25">
      <c r="A62" s="23" t="s">
        <v>790</v>
      </c>
      <c r="B62" s="613" t="s">
        <v>1216</v>
      </c>
      <c r="C62" s="594" t="s">
        <v>1459</v>
      </c>
      <c r="D62" s="21">
        <v>10495</v>
      </c>
      <c r="E62" s="21">
        <v>10650</v>
      </c>
      <c r="F62" s="151">
        <f t="shared" ref="F62" si="19">E62-D62</f>
        <v>155</v>
      </c>
      <c r="G62" s="180"/>
    </row>
    <row r="63" spans="1:15" ht="15" customHeight="1" thickBot="1" x14ac:dyDescent="0.25">
      <c r="A63" s="23" t="s">
        <v>791</v>
      </c>
      <c r="B63" s="613" t="s">
        <v>1217</v>
      </c>
      <c r="C63" s="628" t="s">
        <v>1982</v>
      </c>
      <c r="D63" s="22">
        <v>3520</v>
      </c>
      <c r="E63" s="22">
        <v>3725</v>
      </c>
      <c r="F63" s="151">
        <f t="shared" ref="F63" si="20">E63-D63</f>
        <v>205</v>
      </c>
      <c r="G63" s="694"/>
    </row>
    <row r="64" spans="1:15" ht="15" customHeight="1" thickBot="1" x14ac:dyDescent="0.25">
      <c r="A64" s="149" t="s">
        <v>792</v>
      </c>
      <c r="B64" s="613" t="s">
        <v>1811</v>
      </c>
      <c r="C64" s="592" t="s">
        <v>1837</v>
      </c>
      <c r="D64" s="22">
        <v>22530</v>
      </c>
      <c r="E64" s="22">
        <v>22890</v>
      </c>
      <c r="F64" s="151">
        <f t="shared" si="16"/>
        <v>360</v>
      </c>
      <c r="G64" s="180"/>
    </row>
    <row r="65" spans="1:15" ht="15" customHeight="1" thickBot="1" x14ac:dyDescent="0.25">
      <c r="A65" s="149" t="s">
        <v>1600</v>
      </c>
      <c r="B65" s="619" t="s">
        <v>1218</v>
      </c>
      <c r="C65" s="591" t="s">
        <v>1597</v>
      </c>
      <c r="D65" s="275">
        <v>8485</v>
      </c>
      <c r="E65" s="275">
        <v>8740</v>
      </c>
      <c r="F65" s="151">
        <f t="shared" ref="F65" si="21">E65-D65</f>
        <v>255</v>
      </c>
      <c r="G65" s="126"/>
    </row>
    <row r="66" spans="1:15" ht="15" customHeight="1" thickBot="1" x14ac:dyDescent="0.25">
      <c r="A66" s="149" t="s">
        <v>793</v>
      </c>
      <c r="B66" s="613" t="s">
        <v>1219</v>
      </c>
      <c r="C66" s="607" t="s">
        <v>1838</v>
      </c>
      <c r="D66" s="275">
        <v>26210</v>
      </c>
      <c r="E66" s="275">
        <v>26450</v>
      </c>
      <c r="F66" s="151">
        <f t="shared" si="16"/>
        <v>240</v>
      </c>
      <c r="G66" s="228"/>
    </row>
    <row r="67" spans="1:15" ht="15" customHeight="1" thickBot="1" x14ac:dyDescent="0.25">
      <c r="A67" s="149" t="s">
        <v>794</v>
      </c>
      <c r="B67" s="619" t="s">
        <v>1220</v>
      </c>
      <c r="C67" s="591" t="s">
        <v>1584</v>
      </c>
      <c r="D67" s="275">
        <v>41585</v>
      </c>
      <c r="E67" s="275">
        <v>42355</v>
      </c>
      <c r="F67" s="151">
        <f t="shared" ref="F67" si="22">E67-D67</f>
        <v>770</v>
      </c>
      <c r="G67" s="229"/>
    </row>
    <row r="68" spans="1:15" ht="15" customHeight="1" thickBot="1" x14ac:dyDescent="0.25">
      <c r="A68" s="223" t="s">
        <v>795</v>
      </c>
      <c r="B68" s="613" t="s">
        <v>1221</v>
      </c>
      <c r="C68" s="602" t="s">
        <v>1661</v>
      </c>
      <c r="D68" s="151">
        <v>8005</v>
      </c>
      <c r="E68" s="151">
        <v>8225</v>
      </c>
      <c r="F68" s="151">
        <f t="shared" ref="F68" si="23">E68-D68</f>
        <v>220</v>
      </c>
      <c r="G68" s="126"/>
    </row>
    <row r="69" spans="1:15" ht="15" customHeight="1" thickBot="1" x14ac:dyDescent="0.25">
      <c r="A69" s="171" t="s">
        <v>796</v>
      </c>
      <c r="B69" s="619" t="s">
        <v>1222</v>
      </c>
      <c r="C69" s="596" t="s">
        <v>2016</v>
      </c>
      <c r="D69" s="151">
        <v>4320</v>
      </c>
      <c r="E69" s="151">
        <v>4980</v>
      </c>
      <c r="F69" s="574">
        <f>E69-D69</f>
        <v>660</v>
      </c>
      <c r="G69" s="694"/>
    </row>
    <row r="70" spans="1:15" ht="15" customHeight="1" thickBot="1" x14ac:dyDescent="0.25">
      <c r="A70" s="149" t="s">
        <v>797</v>
      </c>
      <c r="B70" s="613" t="s">
        <v>1223</v>
      </c>
      <c r="C70" s="607" t="s">
        <v>1001</v>
      </c>
      <c r="D70" s="154">
        <v>21230</v>
      </c>
      <c r="E70" s="154">
        <v>21290</v>
      </c>
      <c r="F70" s="151">
        <f t="shared" si="16"/>
        <v>60</v>
      </c>
      <c r="G70" s="143" t="s">
        <v>1002</v>
      </c>
    </row>
    <row r="71" spans="1:15" ht="15" customHeight="1" thickBot="1" x14ac:dyDescent="0.25">
      <c r="A71" s="149" t="s">
        <v>798</v>
      </c>
      <c r="B71" s="619" t="s">
        <v>1224</v>
      </c>
      <c r="C71" s="591" t="s">
        <v>799</v>
      </c>
      <c r="D71" s="21">
        <v>38425</v>
      </c>
      <c r="E71" s="21">
        <v>38520</v>
      </c>
      <c r="F71" s="151">
        <f t="shared" si="16"/>
        <v>95</v>
      </c>
    </row>
    <row r="72" spans="1:15" ht="14.25" customHeight="1" thickBot="1" x14ac:dyDescent="0.25">
      <c r="A72" s="149" t="s">
        <v>800</v>
      </c>
      <c r="B72" s="613" t="s">
        <v>1225</v>
      </c>
      <c r="C72" s="607" t="s">
        <v>1839</v>
      </c>
      <c r="D72" s="22">
        <v>35895</v>
      </c>
      <c r="E72" s="22">
        <v>36125</v>
      </c>
      <c r="F72" s="151">
        <f t="shared" si="16"/>
        <v>230</v>
      </c>
      <c r="G72" s="314"/>
    </row>
    <row r="73" spans="1:15" ht="15" customHeight="1" thickBot="1" x14ac:dyDescent="0.25">
      <c r="A73" s="149" t="s">
        <v>801</v>
      </c>
      <c r="B73" s="613" t="s">
        <v>1226</v>
      </c>
      <c r="C73" s="606" t="s">
        <v>1531</v>
      </c>
      <c r="D73" s="22">
        <v>4975</v>
      </c>
      <c r="E73" s="22">
        <v>5130</v>
      </c>
      <c r="F73" s="151">
        <f t="shared" ref="F73" si="24">E73-D73</f>
        <v>155</v>
      </c>
    </row>
    <row r="74" spans="1:15" ht="15" customHeight="1" thickBot="1" x14ac:dyDescent="0.25">
      <c r="A74" s="149" t="s">
        <v>1548</v>
      </c>
      <c r="B74" s="714" t="s">
        <v>1227</v>
      </c>
      <c r="C74" s="149" t="s">
        <v>1956</v>
      </c>
      <c r="D74" s="22">
        <v>12025</v>
      </c>
      <c r="E74" s="22">
        <v>12140</v>
      </c>
      <c r="F74" s="151">
        <f t="shared" ref="F74" si="25">E74-D74</f>
        <v>115</v>
      </c>
      <c r="G74" s="839" t="s">
        <v>1957</v>
      </c>
      <c r="H74" s="840"/>
      <c r="I74" s="840"/>
      <c r="J74" s="840"/>
      <c r="K74" s="840"/>
      <c r="L74" s="840"/>
      <c r="M74" s="840"/>
      <c r="N74" s="840"/>
      <c r="O74" s="840"/>
    </row>
    <row r="75" spans="1:15" ht="15" customHeight="1" thickBot="1" x14ac:dyDescent="0.25">
      <c r="A75" s="149" t="s">
        <v>802</v>
      </c>
      <c r="B75" s="631" t="s">
        <v>1228</v>
      </c>
      <c r="C75" s="606" t="s">
        <v>2025</v>
      </c>
      <c r="D75" s="275">
        <v>605</v>
      </c>
      <c r="E75" s="275">
        <v>875</v>
      </c>
      <c r="F75" s="151">
        <f t="shared" ref="F75" si="26">E75-D75</f>
        <v>270</v>
      </c>
      <c r="G75" s="777"/>
    </row>
    <row r="76" spans="1:15" ht="15" customHeight="1" thickBot="1" x14ac:dyDescent="0.25">
      <c r="A76" s="23" t="s">
        <v>803</v>
      </c>
      <c r="B76" s="619" t="s">
        <v>1229</v>
      </c>
      <c r="C76" s="606" t="s">
        <v>1845</v>
      </c>
      <c r="D76" s="22">
        <v>67360</v>
      </c>
      <c r="E76" s="22">
        <v>68095</v>
      </c>
      <c r="F76" s="151">
        <f>E76-D76</f>
        <v>735</v>
      </c>
      <c r="G76" s="347"/>
    </row>
    <row r="77" spans="1:15" ht="15" customHeight="1" thickBot="1" x14ac:dyDescent="0.25">
      <c r="A77" s="149" t="s">
        <v>804</v>
      </c>
      <c r="B77" s="613" t="s">
        <v>1383</v>
      </c>
      <c r="C77" s="632" t="s">
        <v>1846</v>
      </c>
      <c r="D77" s="22">
        <v>15560</v>
      </c>
      <c r="E77" s="22">
        <v>16045</v>
      </c>
      <c r="F77" s="151">
        <f t="shared" ref="F77:F82" si="27">E77-D77</f>
        <v>485</v>
      </c>
      <c r="G77" s="182"/>
    </row>
    <row r="78" spans="1:15" ht="15" customHeight="1" thickBot="1" x14ac:dyDescent="0.25">
      <c r="A78" s="23" t="s">
        <v>806</v>
      </c>
      <c r="B78" s="619" t="s">
        <v>1230</v>
      </c>
      <c r="C78" s="606" t="s">
        <v>1847</v>
      </c>
      <c r="D78" s="275">
        <v>13330</v>
      </c>
      <c r="E78" s="275">
        <v>13495</v>
      </c>
      <c r="F78" s="151">
        <f t="shared" si="27"/>
        <v>165</v>
      </c>
      <c r="G78" s="182" t="s">
        <v>805</v>
      </c>
    </row>
    <row r="79" spans="1:15" ht="15" customHeight="1" thickBot="1" x14ac:dyDescent="0.25">
      <c r="A79" s="149" t="s">
        <v>807</v>
      </c>
      <c r="B79" s="613" t="s">
        <v>1231</v>
      </c>
      <c r="C79" s="633" t="s">
        <v>1658</v>
      </c>
      <c r="D79" s="22">
        <v>11745</v>
      </c>
      <c r="E79" s="22">
        <v>11865</v>
      </c>
      <c r="F79" s="151">
        <f t="shared" si="27"/>
        <v>120</v>
      </c>
      <c r="G79" s="494"/>
    </row>
    <row r="80" spans="1:15" ht="15" customHeight="1" thickBot="1" x14ac:dyDescent="0.25">
      <c r="A80" s="23" t="s">
        <v>808</v>
      </c>
      <c r="B80" s="619" t="s">
        <v>1232</v>
      </c>
      <c r="C80" s="598" t="s">
        <v>1673</v>
      </c>
      <c r="D80" s="22">
        <v>10390</v>
      </c>
      <c r="E80" s="22">
        <v>10605</v>
      </c>
      <c r="F80" s="151">
        <f t="shared" ref="F80" si="28">E80-D80</f>
        <v>215</v>
      </c>
      <c r="G80" s="584" t="s">
        <v>1672</v>
      </c>
    </row>
    <row r="81" spans="1:10" ht="15" customHeight="1" thickBot="1" x14ac:dyDescent="0.25">
      <c r="A81" s="149" t="s">
        <v>809</v>
      </c>
      <c r="B81" s="613" t="s">
        <v>1226</v>
      </c>
      <c r="C81" s="633" t="s">
        <v>1848</v>
      </c>
      <c r="D81" s="22">
        <v>11730</v>
      </c>
      <c r="E81" s="22">
        <v>11825</v>
      </c>
      <c r="F81" s="151">
        <f t="shared" si="27"/>
        <v>95</v>
      </c>
    </row>
    <row r="82" spans="1:10" ht="15" customHeight="1" thickBot="1" x14ac:dyDescent="0.25">
      <c r="A82" s="23" t="s">
        <v>810</v>
      </c>
      <c r="B82" s="619" t="s">
        <v>1233</v>
      </c>
      <c r="C82" s="598" t="s">
        <v>1849</v>
      </c>
      <c r="D82" s="22">
        <v>2860</v>
      </c>
      <c r="E82" s="22">
        <v>2920</v>
      </c>
      <c r="F82" s="151">
        <f t="shared" si="27"/>
        <v>60</v>
      </c>
      <c r="G82" s="568"/>
    </row>
    <row r="83" spans="1:10" ht="17.25" customHeight="1" thickBot="1" x14ac:dyDescent="0.25">
      <c r="A83" s="149" t="s">
        <v>811</v>
      </c>
      <c r="B83" s="613" t="s">
        <v>1234</v>
      </c>
      <c r="C83" s="633" t="s">
        <v>1850</v>
      </c>
      <c r="D83" s="22">
        <v>17590</v>
      </c>
      <c r="E83" s="22">
        <v>17635</v>
      </c>
      <c r="F83" s="151">
        <f t="shared" ref="F83:F103" si="29">E83-D83</f>
        <v>45</v>
      </c>
      <c r="G83" s="458"/>
    </row>
    <row r="84" spans="1:10" ht="15" customHeight="1" thickBot="1" x14ac:dyDescent="0.25">
      <c r="A84" s="149" t="s">
        <v>812</v>
      </c>
      <c r="B84" s="619" t="s">
        <v>1235</v>
      </c>
      <c r="C84" s="598" t="s">
        <v>1601</v>
      </c>
      <c r="D84" s="22">
        <v>245</v>
      </c>
      <c r="E84" s="22">
        <v>440</v>
      </c>
      <c r="F84" s="574">
        <f t="shared" ref="F84" si="30">E84-D84</f>
        <v>195</v>
      </c>
      <c r="G84" s="568" t="s">
        <v>1578</v>
      </c>
    </row>
    <row r="85" spans="1:10" ht="15" customHeight="1" thickBot="1" x14ac:dyDescent="0.25">
      <c r="A85" s="149" t="s">
        <v>813</v>
      </c>
      <c r="B85" s="613" t="s">
        <v>1236</v>
      </c>
      <c r="C85" s="606" t="s">
        <v>950</v>
      </c>
      <c r="D85" s="22">
        <v>26845</v>
      </c>
      <c r="E85" s="22">
        <v>27130</v>
      </c>
      <c r="F85" s="151">
        <f t="shared" si="29"/>
        <v>285</v>
      </c>
      <c r="G85" s="538"/>
    </row>
    <row r="86" spans="1:10" ht="14.25" customHeight="1" thickBot="1" x14ac:dyDescent="0.25">
      <c r="A86" s="23" t="s">
        <v>814</v>
      </c>
      <c r="B86" s="634" t="s">
        <v>1237</v>
      </c>
      <c r="C86" s="635" t="s">
        <v>1851</v>
      </c>
      <c r="D86" s="22">
        <v>28075</v>
      </c>
      <c r="E86" s="22">
        <v>28290</v>
      </c>
      <c r="F86" s="151">
        <f t="shared" si="29"/>
        <v>215</v>
      </c>
      <c r="G86" s="314"/>
    </row>
    <row r="87" spans="1:10" ht="15" customHeight="1" thickBot="1" x14ac:dyDescent="0.25">
      <c r="A87" s="295" t="s">
        <v>815</v>
      </c>
      <c r="B87" s="630" t="s">
        <v>1840</v>
      </c>
      <c r="C87" s="636" t="s">
        <v>1852</v>
      </c>
      <c r="D87" s="275">
        <v>9530</v>
      </c>
      <c r="E87" s="275">
        <v>9620</v>
      </c>
      <c r="F87" s="151">
        <f t="shared" si="29"/>
        <v>90</v>
      </c>
      <c r="G87" s="284" t="s">
        <v>1039</v>
      </c>
    </row>
    <row r="88" spans="1:10" ht="15" customHeight="1" thickBot="1" x14ac:dyDescent="0.25">
      <c r="A88" s="149" t="s">
        <v>816</v>
      </c>
      <c r="B88" s="619" t="s">
        <v>1238</v>
      </c>
      <c r="C88" s="637" t="s">
        <v>1853</v>
      </c>
      <c r="D88" s="22">
        <v>3210</v>
      </c>
      <c r="E88" s="22">
        <v>3215</v>
      </c>
      <c r="F88" s="151">
        <f t="shared" si="29"/>
        <v>5</v>
      </c>
      <c r="G88" s="458"/>
    </row>
    <row r="89" spans="1:10" ht="15" customHeight="1" thickBot="1" x14ac:dyDescent="0.25">
      <c r="A89" s="149" t="s">
        <v>1665</v>
      </c>
      <c r="B89" s="613" t="s">
        <v>1239</v>
      </c>
      <c r="C89" s="632" t="s">
        <v>1854</v>
      </c>
      <c r="D89" s="22">
        <v>52795</v>
      </c>
      <c r="E89" s="22">
        <v>53355</v>
      </c>
      <c r="F89" s="151">
        <f t="shared" ref="F89" si="31">E89-D89</f>
        <v>560</v>
      </c>
      <c r="G89" s="458"/>
    </row>
    <row r="90" spans="1:10" ht="15" customHeight="1" thickBot="1" x14ac:dyDescent="0.25">
      <c r="A90" s="23" t="s">
        <v>817</v>
      </c>
      <c r="B90" s="619" t="s">
        <v>1240</v>
      </c>
      <c r="C90" s="601" t="s">
        <v>1855</v>
      </c>
      <c r="D90" s="275">
        <v>28300</v>
      </c>
      <c r="E90" s="275">
        <v>28470</v>
      </c>
      <c r="F90" s="151">
        <f t="shared" si="29"/>
        <v>170</v>
      </c>
      <c r="G90" s="521"/>
    </row>
    <row r="91" spans="1:10" ht="14.25" customHeight="1" thickBot="1" x14ac:dyDescent="0.25">
      <c r="A91" s="165" t="s">
        <v>818</v>
      </c>
      <c r="B91" s="613" t="s">
        <v>1241</v>
      </c>
      <c r="C91" s="638" t="s">
        <v>1856</v>
      </c>
      <c r="D91" s="151">
        <v>74425</v>
      </c>
      <c r="E91" s="151">
        <v>74680</v>
      </c>
      <c r="F91" s="151">
        <f t="shared" si="29"/>
        <v>255</v>
      </c>
    </row>
    <row r="92" spans="1:10" ht="15" customHeight="1" thickBot="1" x14ac:dyDescent="0.25">
      <c r="A92" s="23" t="s">
        <v>819</v>
      </c>
      <c r="B92" s="619" t="s">
        <v>1242</v>
      </c>
      <c r="C92" s="601" t="s">
        <v>1857</v>
      </c>
      <c r="D92" s="22">
        <v>43635</v>
      </c>
      <c r="E92" s="22">
        <v>43940</v>
      </c>
      <c r="F92" s="151">
        <f t="shared" si="29"/>
        <v>305</v>
      </c>
      <c r="G92" s="458"/>
    </row>
    <row r="93" spans="1:10" ht="15" customHeight="1" thickBot="1" x14ac:dyDescent="0.25">
      <c r="A93" s="149" t="s">
        <v>820</v>
      </c>
      <c r="B93" s="613" t="s">
        <v>1243</v>
      </c>
      <c r="C93" s="771" t="s">
        <v>2017</v>
      </c>
      <c r="D93" s="22">
        <v>2265</v>
      </c>
      <c r="E93" s="22">
        <v>2630</v>
      </c>
      <c r="F93" s="574">
        <f>E93-D93</f>
        <v>365</v>
      </c>
      <c r="G93" s="694"/>
    </row>
    <row r="94" spans="1:10" ht="15" customHeight="1" thickBot="1" x14ac:dyDescent="0.25">
      <c r="A94" s="23" t="s">
        <v>821</v>
      </c>
      <c r="B94" s="619" t="s">
        <v>1244</v>
      </c>
      <c r="C94" s="625" t="s">
        <v>1984</v>
      </c>
      <c r="D94" s="22">
        <v>5120</v>
      </c>
      <c r="E94" s="22">
        <v>5275</v>
      </c>
      <c r="F94" s="151">
        <f t="shared" si="29"/>
        <v>155</v>
      </c>
      <c r="G94" s="314"/>
    </row>
    <row r="95" spans="1:10" ht="15" customHeight="1" thickBot="1" x14ac:dyDescent="0.25">
      <c r="A95" s="149" t="s">
        <v>1371</v>
      </c>
      <c r="B95" s="613" t="s">
        <v>1245</v>
      </c>
      <c r="C95" s="632" t="s">
        <v>1858</v>
      </c>
      <c r="D95" s="22">
        <v>24930</v>
      </c>
      <c r="E95" s="22">
        <v>25210</v>
      </c>
      <c r="F95" s="151">
        <f t="shared" si="29"/>
        <v>280</v>
      </c>
      <c r="G95" s="211"/>
      <c r="H95" s="117"/>
      <c r="I95" s="117"/>
      <c r="J95" s="117"/>
    </row>
    <row r="96" spans="1:10" ht="15" customHeight="1" thickBot="1" x14ac:dyDescent="0.25">
      <c r="A96" s="149" t="s">
        <v>822</v>
      </c>
      <c r="B96" s="619" t="s">
        <v>1246</v>
      </c>
      <c r="C96" s="625" t="s">
        <v>1585</v>
      </c>
      <c r="D96" s="22">
        <v>10815</v>
      </c>
      <c r="E96" s="22">
        <v>10865</v>
      </c>
      <c r="F96" s="151">
        <f t="shared" ref="F96" si="32">E96-D96</f>
        <v>50</v>
      </c>
      <c r="G96" s="108"/>
    </row>
    <row r="97" spans="1:15" ht="15" customHeight="1" thickBot="1" x14ac:dyDescent="0.25">
      <c r="A97" s="149" t="s">
        <v>1593</v>
      </c>
      <c r="B97" s="613" t="s">
        <v>1247</v>
      </c>
      <c r="C97" s="639" t="s">
        <v>1462</v>
      </c>
      <c r="D97" s="22">
        <v>37540</v>
      </c>
      <c r="E97" s="22">
        <v>37730</v>
      </c>
      <c r="F97" s="151">
        <f t="shared" ref="F97" si="33">E97-D97</f>
        <v>190</v>
      </c>
      <c r="G97" s="32"/>
    </row>
    <row r="98" spans="1:15" ht="15" customHeight="1" thickBot="1" x14ac:dyDescent="0.25">
      <c r="A98" s="23" t="s">
        <v>823</v>
      </c>
      <c r="B98" s="619" t="s">
        <v>1248</v>
      </c>
      <c r="C98" s="601" t="s">
        <v>1859</v>
      </c>
      <c r="D98" s="22">
        <v>9860</v>
      </c>
      <c r="E98" s="22">
        <v>10010</v>
      </c>
      <c r="F98" s="151">
        <f t="shared" si="29"/>
        <v>150</v>
      </c>
      <c r="G98" s="494"/>
    </row>
    <row r="99" spans="1:15" ht="15" customHeight="1" thickBot="1" x14ac:dyDescent="0.25">
      <c r="A99" s="187" t="s">
        <v>824</v>
      </c>
      <c r="B99" s="613" t="s">
        <v>1249</v>
      </c>
      <c r="C99" s="640" t="s">
        <v>1860</v>
      </c>
      <c r="D99" s="275">
        <v>53570</v>
      </c>
      <c r="E99" s="275">
        <v>54050</v>
      </c>
      <c r="F99" s="151">
        <f>E99-D99</f>
        <v>480</v>
      </c>
      <c r="G99" s="833" t="s">
        <v>957</v>
      </c>
    </row>
    <row r="100" spans="1:15" ht="15" customHeight="1" thickBot="1" x14ac:dyDescent="0.25">
      <c r="A100" s="187" t="s">
        <v>825</v>
      </c>
      <c r="B100" s="619" t="s">
        <v>1250</v>
      </c>
      <c r="C100" s="606" t="s">
        <v>1861</v>
      </c>
      <c r="D100" s="275">
        <v>34140</v>
      </c>
      <c r="E100" s="275">
        <v>34305</v>
      </c>
      <c r="F100" s="151">
        <f t="shared" si="29"/>
        <v>165</v>
      </c>
      <c r="G100" s="834"/>
    </row>
    <row r="101" spans="1:15" ht="15" customHeight="1" thickBot="1" x14ac:dyDescent="0.25">
      <c r="A101" s="187" t="s">
        <v>826</v>
      </c>
      <c r="B101" s="613" t="s">
        <v>1251</v>
      </c>
      <c r="C101" s="633" t="s">
        <v>1862</v>
      </c>
      <c r="D101" s="275">
        <v>38520</v>
      </c>
      <c r="E101" s="275">
        <v>38900</v>
      </c>
      <c r="F101" s="151">
        <f t="shared" ref="F101" si="34">E101-D101</f>
        <v>380</v>
      </c>
      <c r="G101" s="834"/>
    </row>
    <row r="102" spans="1:15" ht="15" customHeight="1" thickBot="1" x14ac:dyDescent="0.25">
      <c r="A102" s="187" t="s">
        <v>827</v>
      </c>
      <c r="B102" s="619" t="s">
        <v>1252</v>
      </c>
      <c r="C102" s="601" t="s">
        <v>1863</v>
      </c>
      <c r="D102" s="275">
        <v>21210</v>
      </c>
      <c r="E102" s="275">
        <v>21445</v>
      </c>
      <c r="F102" s="151">
        <f t="shared" ref="F102" si="35">E102-D102</f>
        <v>235</v>
      </c>
      <c r="G102" s="835"/>
    </row>
    <row r="103" spans="1:15" ht="16.5" customHeight="1" thickBot="1" x14ac:dyDescent="0.25">
      <c r="A103" s="149" t="s">
        <v>828</v>
      </c>
      <c r="B103" s="630" t="s">
        <v>1841</v>
      </c>
      <c r="C103" s="641" t="s">
        <v>1864</v>
      </c>
      <c r="D103" s="22">
        <v>16995</v>
      </c>
      <c r="E103" s="22">
        <v>17165</v>
      </c>
      <c r="F103" s="151">
        <f t="shared" si="29"/>
        <v>170</v>
      </c>
      <c r="G103" s="342"/>
    </row>
    <row r="104" spans="1:15" ht="15" customHeight="1" thickBot="1" x14ac:dyDescent="0.25">
      <c r="A104" s="23" t="s">
        <v>829</v>
      </c>
      <c r="B104" s="619" t="s">
        <v>1253</v>
      </c>
      <c r="C104" s="601" t="s">
        <v>1865</v>
      </c>
      <c r="D104" s="151">
        <v>25325</v>
      </c>
      <c r="E104" s="151">
        <v>25490</v>
      </c>
      <c r="F104" s="151">
        <f t="shared" ref="F104:F126" si="36">E104-D104</f>
        <v>165</v>
      </c>
    </row>
    <row r="105" spans="1:15" ht="15" customHeight="1" thickBot="1" x14ac:dyDescent="0.25">
      <c r="A105" s="23" t="s">
        <v>830</v>
      </c>
      <c r="B105" s="613" t="s">
        <v>1254</v>
      </c>
      <c r="C105" s="639" t="s">
        <v>1662</v>
      </c>
      <c r="D105" s="151">
        <v>6060</v>
      </c>
      <c r="E105" s="151">
        <v>6120</v>
      </c>
      <c r="F105" s="151">
        <f t="shared" ref="F105" si="37">E105-D105</f>
        <v>60</v>
      </c>
      <c r="G105" s="126"/>
    </row>
    <row r="106" spans="1:15" ht="15" customHeight="1" thickBot="1" x14ac:dyDescent="0.25">
      <c r="A106" s="141" t="s">
        <v>831</v>
      </c>
      <c r="B106" s="619" t="s">
        <v>1255</v>
      </c>
      <c r="C106" s="642" t="s">
        <v>1605</v>
      </c>
      <c r="D106" s="28">
        <v>11590</v>
      </c>
      <c r="E106" s="28">
        <v>11735</v>
      </c>
      <c r="F106" s="151">
        <f t="shared" ref="F106" si="38">E106-D106</f>
        <v>145</v>
      </c>
    </row>
    <row r="107" spans="1:15" ht="15" customHeight="1" thickBot="1" x14ac:dyDescent="0.25">
      <c r="A107" s="141" t="s">
        <v>832</v>
      </c>
      <c r="B107" s="613" t="s">
        <v>1256</v>
      </c>
      <c r="C107" s="644" t="s">
        <v>1586</v>
      </c>
      <c r="D107" s="28">
        <v>5480</v>
      </c>
      <c r="E107" s="28">
        <v>5480</v>
      </c>
      <c r="F107" s="574">
        <f t="shared" ref="F107" si="39">E107-D107</f>
        <v>0</v>
      </c>
      <c r="G107" s="568" t="s">
        <v>1578</v>
      </c>
    </row>
    <row r="108" spans="1:15" ht="15.75" customHeight="1" thickBot="1" x14ac:dyDescent="0.25">
      <c r="A108" s="188" t="s">
        <v>833</v>
      </c>
      <c r="B108" s="643" t="s">
        <v>1842</v>
      </c>
      <c r="C108" s="591" t="s">
        <v>1866</v>
      </c>
      <c r="D108" s="667">
        <v>101760</v>
      </c>
      <c r="E108" s="667">
        <v>102035</v>
      </c>
      <c r="F108" s="574">
        <f t="shared" si="36"/>
        <v>275</v>
      </c>
      <c r="G108" s="654" t="s">
        <v>957</v>
      </c>
    </row>
    <row r="109" spans="1:15" ht="15" customHeight="1" thickBot="1" x14ac:dyDescent="0.25">
      <c r="A109" s="187" t="s">
        <v>834</v>
      </c>
      <c r="B109" s="613" t="s">
        <v>1257</v>
      </c>
      <c r="C109" s="641" t="s">
        <v>1867</v>
      </c>
      <c r="D109" s="686">
        <v>35615</v>
      </c>
      <c r="E109" s="686">
        <v>35655</v>
      </c>
      <c r="F109" s="574">
        <f t="shared" si="36"/>
        <v>40</v>
      </c>
      <c r="G109" s="707"/>
    </row>
    <row r="110" spans="1:15" ht="16.5" customHeight="1" thickBot="1" x14ac:dyDescent="0.25">
      <c r="A110" s="188" t="s">
        <v>835</v>
      </c>
      <c r="B110" s="619" t="s">
        <v>1258</v>
      </c>
      <c r="C110" s="593" t="s">
        <v>1668</v>
      </c>
      <c r="D110" s="686">
        <v>20225</v>
      </c>
      <c r="E110" s="686">
        <v>20390</v>
      </c>
      <c r="F110" s="151">
        <f t="shared" ref="F110" si="40">E110-D110</f>
        <v>165</v>
      </c>
      <c r="G110" s="581" t="s">
        <v>1667</v>
      </c>
    </row>
    <row r="111" spans="1:15" ht="15" customHeight="1" thickBot="1" x14ac:dyDescent="0.25">
      <c r="A111" s="187" t="s">
        <v>836</v>
      </c>
      <c r="B111" s="630" t="s">
        <v>1843</v>
      </c>
      <c r="C111" s="638" t="s">
        <v>1868</v>
      </c>
      <c r="D111" s="574">
        <v>35200</v>
      </c>
      <c r="E111" s="574">
        <v>35640</v>
      </c>
      <c r="F111" s="151">
        <f>E111-D111</f>
        <v>440</v>
      </c>
      <c r="G111" s="582"/>
    </row>
    <row r="112" spans="1:15" ht="15" customHeight="1" thickBot="1" x14ac:dyDescent="0.25">
      <c r="A112" s="160" t="s">
        <v>1653</v>
      </c>
      <c r="B112" s="619" t="s">
        <v>1642</v>
      </c>
      <c r="C112" s="593" t="s">
        <v>1641</v>
      </c>
      <c r="D112" s="22">
        <v>7300</v>
      </c>
      <c r="E112" s="22">
        <v>7460</v>
      </c>
      <c r="F112" s="151">
        <f>E112-D112</f>
        <v>160</v>
      </c>
      <c r="G112" s="182" t="s">
        <v>837</v>
      </c>
      <c r="O112" s="494"/>
    </row>
    <row r="113" spans="1:7" ht="15" customHeight="1" thickBot="1" x14ac:dyDescent="0.25">
      <c r="A113" s="160" t="s">
        <v>838</v>
      </c>
      <c r="B113" s="613" t="s">
        <v>1260</v>
      </c>
      <c r="C113" s="638" t="s">
        <v>1869</v>
      </c>
      <c r="D113" s="22">
        <v>21070</v>
      </c>
      <c r="E113" s="22">
        <v>21495</v>
      </c>
      <c r="F113" s="151">
        <f>E113-D113</f>
        <v>425</v>
      </c>
    </row>
    <row r="114" spans="1:7" ht="15" customHeight="1" thickBot="1" x14ac:dyDescent="0.25">
      <c r="A114" s="160" t="s">
        <v>1594</v>
      </c>
      <c r="B114" s="643" t="s">
        <v>1844</v>
      </c>
      <c r="C114" s="591" t="s">
        <v>1587</v>
      </c>
      <c r="D114" s="151">
        <v>13855</v>
      </c>
      <c r="E114" s="151">
        <v>13910</v>
      </c>
      <c r="F114" s="151">
        <f t="shared" ref="F114" si="41">E114-D114</f>
        <v>55</v>
      </c>
    </row>
    <row r="115" spans="1:7" ht="15" customHeight="1" thickBot="1" x14ac:dyDescent="0.25">
      <c r="A115" s="149" t="s">
        <v>839</v>
      </c>
      <c r="B115" s="613" t="s">
        <v>1261</v>
      </c>
      <c r="C115" s="638" t="s">
        <v>1870</v>
      </c>
      <c r="D115" s="151">
        <v>50420</v>
      </c>
      <c r="E115" s="151">
        <v>50605</v>
      </c>
      <c r="F115" s="151">
        <f t="shared" ref="F115" si="42">E115-D115</f>
        <v>185</v>
      </c>
    </row>
    <row r="116" spans="1:7" ht="15" customHeight="1" thickBot="1" x14ac:dyDescent="0.25">
      <c r="A116" s="141" t="s">
        <v>840</v>
      </c>
      <c r="B116" s="619" t="s">
        <v>1262</v>
      </c>
      <c r="C116" s="642" t="s">
        <v>1871</v>
      </c>
      <c r="D116" s="21">
        <v>39565</v>
      </c>
      <c r="E116" s="21">
        <v>39685</v>
      </c>
      <c r="F116" s="151">
        <f t="shared" si="36"/>
        <v>120</v>
      </c>
    </row>
    <row r="117" spans="1:7" ht="15" customHeight="1" thickBot="1" x14ac:dyDescent="0.25">
      <c r="A117" s="141" t="s">
        <v>841</v>
      </c>
      <c r="B117" s="613" t="s">
        <v>1579</v>
      </c>
      <c r="C117" s="644" t="s">
        <v>1872</v>
      </c>
      <c r="D117" s="28">
        <v>100455</v>
      </c>
      <c r="E117" s="28">
        <v>100895</v>
      </c>
      <c r="F117" s="151">
        <f t="shared" si="36"/>
        <v>440</v>
      </c>
      <c r="G117" s="521"/>
    </row>
    <row r="118" spans="1:7" ht="15" customHeight="1" thickBot="1" x14ac:dyDescent="0.25">
      <c r="A118" s="169" t="s">
        <v>842</v>
      </c>
      <c r="B118" s="619" t="s">
        <v>1367</v>
      </c>
      <c r="C118" s="593" t="s">
        <v>1873</v>
      </c>
      <c r="D118" s="151">
        <v>47365</v>
      </c>
      <c r="E118" s="151">
        <v>47715</v>
      </c>
      <c r="F118" s="151">
        <f t="shared" si="36"/>
        <v>350</v>
      </c>
      <c r="G118" s="297"/>
    </row>
    <row r="119" spans="1:7" ht="15" customHeight="1" thickBot="1" x14ac:dyDescent="0.25">
      <c r="A119" s="23" t="s">
        <v>843</v>
      </c>
      <c r="B119" s="613" t="s">
        <v>1263</v>
      </c>
      <c r="C119" s="698" t="s">
        <v>1969</v>
      </c>
      <c r="D119" s="151">
        <v>5120</v>
      </c>
      <c r="E119" s="151">
        <v>5460</v>
      </c>
      <c r="F119" s="151">
        <f t="shared" ref="F119" si="43">E119-D119</f>
        <v>340</v>
      </c>
      <c r="G119" s="126"/>
    </row>
    <row r="120" spans="1:7" ht="15" customHeight="1" thickBot="1" x14ac:dyDescent="0.25">
      <c r="A120" s="23" t="s">
        <v>844</v>
      </c>
      <c r="B120" s="645" t="s">
        <v>1874</v>
      </c>
      <c r="C120" s="648" t="s">
        <v>1886</v>
      </c>
      <c r="D120" s="151">
        <v>90320</v>
      </c>
      <c r="E120" s="151">
        <v>90520</v>
      </c>
      <c r="F120" s="151">
        <f t="shared" si="36"/>
        <v>200</v>
      </c>
      <c r="G120" t="s">
        <v>492</v>
      </c>
    </row>
    <row r="121" spans="1:7" s="8" customFormat="1" ht="13.5" customHeight="1" thickBot="1" x14ac:dyDescent="0.25">
      <c r="A121" s="160" t="s">
        <v>845</v>
      </c>
      <c r="B121" s="629" t="s">
        <v>1875</v>
      </c>
      <c r="C121" s="591" t="s">
        <v>1887</v>
      </c>
      <c r="D121" s="275"/>
      <c r="E121" s="275"/>
      <c r="F121" s="562">
        <v>207</v>
      </c>
      <c r="G121" s="772">
        <v>84885</v>
      </c>
    </row>
    <row r="122" spans="1:7" ht="15" customHeight="1" thickBot="1" x14ac:dyDescent="0.25">
      <c r="A122" s="23" t="s">
        <v>846</v>
      </c>
      <c r="B122" s="645" t="s">
        <v>1264</v>
      </c>
      <c r="C122" s="641" t="s">
        <v>1888</v>
      </c>
      <c r="D122" s="151">
        <v>17035</v>
      </c>
      <c r="E122" s="151">
        <v>17150</v>
      </c>
      <c r="F122" s="151">
        <f t="shared" si="36"/>
        <v>115</v>
      </c>
      <c r="G122" s="347"/>
    </row>
    <row r="123" spans="1:7" ht="12.75" customHeight="1" thickBot="1" x14ac:dyDescent="0.25">
      <c r="A123" s="23" t="s">
        <v>847</v>
      </c>
      <c r="B123" s="629" t="s">
        <v>1265</v>
      </c>
      <c r="C123" s="593" t="s">
        <v>1889</v>
      </c>
      <c r="D123" s="151">
        <v>6170</v>
      </c>
      <c r="E123" s="151">
        <v>6225</v>
      </c>
      <c r="F123" s="151">
        <f t="shared" ref="F123" si="44">E123-D123</f>
        <v>55</v>
      </c>
    </row>
    <row r="124" spans="1:7" ht="15" customHeight="1" thickBot="1" x14ac:dyDescent="0.25">
      <c r="A124" s="23" t="s">
        <v>848</v>
      </c>
      <c r="B124" s="645" t="s">
        <v>1266</v>
      </c>
      <c r="C124" s="638" t="s">
        <v>1602</v>
      </c>
      <c r="D124" s="151">
        <v>10175</v>
      </c>
      <c r="E124" s="151">
        <v>10245</v>
      </c>
      <c r="F124" s="151">
        <f t="shared" ref="F124" si="45">E124-D124</f>
        <v>70</v>
      </c>
    </row>
    <row r="125" spans="1:7" ht="12.75" customHeight="1" thickBot="1" x14ac:dyDescent="0.25">
      <c r="A125" s="14" t="s">
        <v>849</v>
      </c>
      <c r="B125" s="629" t="s">
        <v>1267</v>
      </c>
      <c r="C125" s="591" t="s">
        <v>1890</v>
      </c>
      <c r="D125" s="151">
        <v>12205</v>
      </c>
      <c r="E125" s="151">
        <v>12345</v>
      </c>
      <c r="F125" s="151">
        <f t="shared" si="36"/>
        <v>140</v>
      </c>
    </row>
    <row r="126" spans="1:7" ht="15" customHeight="1" thickBot="1" x14ac:dyDescent="0.25">
      <c r="A126" s="23" t="s">
        <v>850</v>
      </c>
      <c r="B126" s="645" t="s">
        <v>1268</v>
      </c>
      <c r="C126" s="640" t="s">
        <v>1589</v>
      </c>
      <c r="D126" s="151">
        <v>35295</v>
      </c>
      <c r="E126" s="151">
        <v>35505</v>
      </c>
      <c r="F126" s="151">
        <f t="shared" si="36"/>
        <v>210</v>
      </c>
    </row>
    <row r="127" spans="1:7" ht="15" customHeight="1" thickBot="1" x14ac:dyDescent="0.25">
      <c r="A127" s="141" t="s">
        <v>851</v>
      </c>
      <c r="B127" s="629" t="s">
        <v>1269</v>
      </c>
      <c r="C127" s="642" t="s">
        <v>1891</v>
      </c>
      <c r="D127" s="21">
        <v>70580</v>
      </c>
      <c r="E127" s="21">
        <v>71130</v>
      </c>
      <c r="F127" s="151">
        <f>E127-D127</f>
        <v>550</v>
      </c>
    </row>
    <row r="128" spans="1:7" ht="15" customHeight="1" thickBot="1" x14ac:dyDescent="0.25">
      <c r="A128" s="141" t="s">
        <v>852</v>
      </c>
      <c r="B128" s="645" t="s">
        <v>1270</v>
      </c>
      <c r="C128" s="644" t="s">
        <v>1666</v>
      </c>
      <c r="D128" s="21">
        <v>15115</v>
      </c>
      <c r="E128" s="21">
        <v>15475</v>
      </c>
      <c r="F128" s="151">
        <f>E128-D128</f>
        <v>360</v>
      </c>
      <c r="G128" s="580"/>
    </row>
    <row r="129" spans="1:16" ht="12.75" customHeight="1" thickBot="1" x14ac:dyDescent="0.25">
      <c r="A129" s="23" t="s">
        <v>853</v>
      </c>
      <c r="B129" s="629" t="s">
        <v>1271</v>
      </c>
      <c r="C129" s="591" t="s">
        <v>1892</v>
      </c>
      <c r="D129" s="151">
        <v>17905</v>
      </c>
      <c r="E129" s="151">
        <v>18010</v>
      </c>
      <c r="F129" s="151">
        <f t="shared" ref="F129:F157" si="46">E129-D129</f>
        <v>105</v>
      </c>
    </row>
    <row r="130" spans="1:16" ht="15" customHeight="1" thickBot="1" x14ac:dyDescent="0.25">
      <c r="A130" s="23" t="s">
        <v>854</v>
      </c>
      <c r="B130" s="647" t="s">
        <v>1624</v>
      </c>
      <c r="C130" s="641" t="s">
        <v>1627</v>
      </c>
      <c r="D130" s="151">
        <v>12545</v>
      </c>
      <c r="E130" s="151">
        <v>12545</v>
      </c>
      <c r="F130" s="151">
        <f t="shared" ref="F130" si="47">E130-D130</f>
        <v>0</v>
      </c>
      <c r="G130" s="126"/>
    </row>
    <row r="131" spans="1:16" ht="15" customHeight="1" thickBot="1" x14ac:dyDescent="0.25">
      <c r="A131" s="160" t="s">
        <v>855</v>
      </c>
      <c r="B131" s="629" t="s">
        <v>1272</v>
      </c>
      <c r="C131" s="593" t="s">
        <v>1893</v>
      </c>
      <c r="D131" s="151">
        <v>9345</v>
      </c>
      <c r="E131" s="151">
        <v>9410</v>
      </c>
      <c r="F131" s="151">
        <f t="shared" si="46"/>
        <v>65</v>
      </c>
      <c r="G131" s="521"/>
    </row>
    <row r="132" spans="1:16" ht="15" customHeight="1" thickBot="1" x14ac:dyDescent="0.25">
      <c r="A132" s="160" t="s">
        <v>856</v>
      </c>
      <c r="B132" s="645" t="s">
        <v>1273</v>
      </c>
      <c r="C132" s="638" t="s">
        <v>1588</v>
      </c>
      <c r="D132" s="151">
        <v>10900</v>
      </c>
      <c r="E132" s="151">
        <v>11050</v>
      </c>
      <c r="F132" s="151">
        <f t="shared" ref="F132" si="48">E132-D132</f>
        <v>150</v>
      </c>
    </row>
    <row r="133" spans="1:16" ht="15" customHeight="1" thickBot="1" x14ac:dyDescent="0.25">
      <c r="A133" s="160" t="s">
        <v>857</v>
      </c>
      <c r="B133" s="629" t="s">
        <v>1274</v>
      </c>
      <c r="C133" s="593" t="s">
        <v>1894</v>
      </c>
      <c r="D133" s="151">
        <v>21330</v>
      </c>
      <c r="E133" s="151">
        <v>21490</v>
      </c>
      <c r="F133" s="151">
        <f t="shared" si="46"/>
        <v>160</v>
      </c>
    </row>
    <row r="134" spans="1:16" ht="15" customHeight="1" thickBot="1" x14ac:dyDescent="0.25">
      <c r="A134" s="160" t="s">
        <v>858</v>
      </c>
      <c r="B134" s="645" t="s">
        <v>1275</v>
      </c>
      <c r="C134" s="638" t="s">
        <v>1895</v>
      </c>
      <c r="D134" s="151">
        <v>21170</v>
      </c>
      <c r="E134" s="151">
        <v>21435</v>
      </c>
      <c r="F134" s="151">
        <f t="shared" si="46"/>
        <v>265</v>
      </c>
    </row>
    <row r="135" spans="1:16" ht="15" customHeight="1" thickBot="1" x14ac:dyDescent="0.25">
      <c r="A135" s="26" t="s">
        <v>859</v>
      </c>
      <c r="B135" s="629" t="s">
        <v>1276</v>
      </c>
      <c r="C135" s="606" t="s">
        <v>998</v>
      </c>
      <c r="D135" s="275">
        <v>33515</v>
      </c>
      <c r="E135" s="275">
        <v>33605</v>
      </c>
      <c r="F135" s="574">
        <f t="shared" si="46"/>
        <v>90</v>
      </c>
      <c r="G135" s="776"/>
    </row>
    <row r="136" spans="1:16" ht="14.25" customHeight="1" thickBot="1" x14ac:dyDescent="0.25">
      <c r="A136" s="149" t="s">
        <v>860</v>
      </c>
      <c r="B136" s="645" t="s">
        <v>1277</v>
      </c>
      <c r="C136" s="638" t="s">
        <v>1896</v>
      </c>
      <c r="D136" s="22">
        <v>62375</v>
      </c>
      <c r="E136" s="22">
        <v>62640</v>
      </c>
      <c r="F136" s="22">
        <f t="shared" si="46"/>
        <v>265</v>
      </c>
    </row>
    <row r="137" spans="1:16" ht="15" customHeight="1" thickBot="1" x14ac:dyDescent="0.25">
      <c r="A137" s="141" t="s">
        <v>861</v>
      </c>
      <c r="B137" s="629" t="s">
        <v>1278</v>
      </c>
      <c r="C137" s="642" t="s">
        <v>1897</v>
      </c>
      <c r="D137" s="22">
        <v>31975</v>
      </c>
      <c r="E137" s="22">
        <v>32135</v>
      </c>
      <c r="F137" s="151">
        <f t="shared" si="46"/>
        <v>160</v>
      </c>
      <c r="G137" s="314"/>
    </row>
    <row r="138" spans="1:16" ht="15" customHeight="1" thickBot="1" x14ac:dyDescent="0.25">
      <c r="A138" s="141" t="s">
        <v>862</v>
      </c>
      <c r="B138" s="645" t="s">
        <v>1279</v>
      </c>
      <c r="C138" s="644" t="s">
        <v>1898</v>
      </c>
      <c r="D138" s="28">
        <v>32915</v>
      </c>
      <c r="E138" s="28">
        <v>33190</v>
      </c>
      <c r="F138" s="151">
        <f t="shared" si="46"/>
        <v>275</v>
      </c>
    </row>
    <row r="139" spans="1:16" ht="15" customHeight="1" thickBot="1" x14ac:dyDescent="0.25">
      <c r="A139" s="169" t="s">
        <v>863</v>
      </c>
      <c r="B139" s="629" t="s">
        <v>1280</v>
      </c>
      <c r="C139" s="593" t="s">
        <v>864</v>
      </c>
      <c r="D139" s="151">
        <v>43170</v>
      </c>
      <c r="E139" s="151">
        <v>43310</v>
      </c>
      <c r="F139" s="151">
        <f t="shared" si="46"/>
        <v>140</v>
      </c>
      <c r="G139" s="182" t="s">
        <v>865</v>
      </c>
    </row>
    <row r="140" spans="1:16" ht="15" customHeight="1" thickBot="1" x14ac:dyDescent="0.25">
      <c r="A140" s="23" t="s">
        <v>866</v>
      </c>
      <c r="B140" s="645" t="s">
        <v>1391</v>
      </c>
      <c r="C140" s="641" t="s">
        <v>867</v>
      </c>
      <c r="D140" s="20">
        <v>21530</v>
      </c>
      <c r="E140" s="20">
        <v>21690</v>
      </c>
      <c r="F140" s="151">
        <f t="shared" si="46"/>
        <v>160</v>
      </c>
      <c r="G140" s="113"/>
      <c r="P140" s="767"/>
    </row>
    <row r="141" spans="1:16" ht="15" customHeight="1" thickBot="1" x14ac:dyDescent="0.25">
      <c r="A141" s="23" t="s">
        <v>868</v>
      </c>
      <c r="B141" s="629" t="s">
        <v>1876</v>
      </c>
      <c r="C141" s="593" t="s">
        <v>1598</v>
      </c>
      <c r="D141" s="151">
        <v>10160</v>
      </c>
      <c r="E141" s="151">
        <v>10230</v>
      </c>
      <c r="F141" s="151">
        <f t="shared" ref="F141" si="49">E141-D141</f>
        <v>70</v>
      </c>
    </row>
    <row r="142" spans="1:16" ht="15" customHeight="1" thickBot="1" x14ac:dyDescent="0.25">
      <c r="A142" s="23" t="s">
        <v>869</v>
      </c>
      <c r="B142" s="645" t="s">
        <v>1281</v>
      </c>
      <c r="C142" s="638" t="s">
        <v>1899</v>
      </c>
      <c r="D142" s="151">
        <v>31465</v>
      </c>
      <c r="E142" s="151">
        <v>31560</v>
      </c>
      <c r="F142" s="151">
        <f t="shared" si="46"/>
        <v>95</v>
      </c>
    </row>
    <row r="143" spans="1:16" ht="15" customHeight="1" thickBot="1" x14ac:dyDescent="0.25">
      <c r="A143" s="23" t="s">
        <v>870</v>
      </c>
      <c r="B143" s="629" t="s">
        <v>1282</v>
      </c>
      <c r="C143" s="593" t="s">
        <v>871</v>
      </c>
      <c r="D143" s="151">
        <v>43480</v>
      </c>
      <c r="E143" s="151">
        <v>43570</v>
      </c>
      <c r="F143" s="151">
        <f t="shared" si="46"/>
        <v>90</v>
      </c>
    </row>
    <row r="144" spans="1:16" ht="15" customHeight="1" thickBot="1" x14ac:dyDescent="0.25">
      <c r="A144" s="187" t="s">
        <v>872</v>
      </c>
      <c r="B144" s="645" t="s">
        <v>1283</v>
      </c>
      <c r="C144" s="638" t="s">
        <v>1900</v>
      </c>
      <c r="D144" s="22">
        <v>64640</v>
      </c>
      <c r="E144" s="22">
        <v>65175</v>
      </c>
      <c r="F144" s="151">
        <f>E144-D144</f>
        <v>535</v>
      </c>
      <c r="G144" s="833" t="s">
        <v>957</v>
      </c>
    </row>
    <row r="145" spans="1:8" ht="15" customHeight="1" thickBot="1" x14ac:dyDescent="0.25">
      <c r="A145" s="188" t="s">
        <v>873</v>
      </c>
      <c r="B145" s="629" t="s">
        <v>1580</v>
      </c>
      <c r="C145" s="591" t="s">
        <v>1901</v>
      </c>
      <c r="D145" s="22">
        <v>13595</v>
      </c>
      <c r="E145" s="22">
        <v>13810</v>
      </c>
      <c r="F145" s="151">
        <f>E145-D145</f>
        <v>215</v>
      </c>
      <c r="G145" s="834"/>
    </row>
    <row r="146" spans="1:8" ht="15" customHeight="1" thickBot="1" x14ac:dyDescent="0.25">
      <c r="A146" s="189" t="s">
        <v>874</v>
      </c>
      <c r="B146" s="645" t="s">
        <v>1284</v>
      </c>
      <c r="C146" s="638" t="s">
        <v>1460</v>
      </c>
      <c r="D146" s="22">
        <v>15835</v>
      </c>
      <c r="E146" s="22">
        <v>16135</v>
      </c>
      <c r="F146" s="151">
        <f>E146-D146</f>
        <v>300</v>
      </c>
      <c r="G146" s="834"/>
    </row>
    <row r="147" spans="1:8" ht="15" customHeight="1" thickBot="1" x14ac:dyDescent="0.25">
      <c r="A147" s="187" t="s">
        <v>875</v>
      </c>
      <c r="B147" s="629" t="s">
        <v>1285</v>
      </c>
      <c r="C147" s="591" t="s">
        <v>1902</v>
      </c>
      <c r="D147" s="151">
        <v>34280</v>
      </c>
      <c r="E147" s="151">
        <v>34530</v>
      </c>
      <c r="F147" s="151">
        <f>E147-D147</f>
        <v>250</v>
      </c>
      <c r="G147" s="835"/>
    </row>
    <row r="148" spans="1:8" ht="15" customHeight="1" thickBot="1" x14ac:dyDescent="0.25">
      <c r="A148" s="141" t="s">
        <v>876</v>
      </c>
      <c r="B148" s="645" t="s">
        <v>1877</v>
      </c>
      <c r="C148" s="649" t="s">
        <v>1903</v>
      </c>
      <c r="D148" s="21">
        <v>17175</v>
      </c>
      <c r="E148" s="21">
        <v>17285</v>
      </c>
      <c r="F148" s="151">
        <f>E148-D148</f>
        <v>110</v>
      </c>
      <c r="G148" s="182" t="s">
        <v>877</v>
      </c>
    </row>
    <row r="149" spans="1:8" ht="15" customHeight="1" thickBot="1" x14ac:dyDescent="0.25">
      <c r="A149" s="141" t="s">
        <v>878</v>
      </c>
      <c r="B149" s="629" t="s">
        <v>1287</v>
      </c>
      <c r="C149" s="625" t="s">
        <v>1904</v>
      </c>
      <c r="D149" s="667"/>
      <c r="E149" s="667"/>
      <c r="F149" s="562">
        <v>96</v>
      </c>
      <c r="G149" s="494">
        <v>41445</v>
      </c>
    </row>
    <row r="150" spans="1:8" ht="15" customHeight="1" thickBot="1" x14ac:dyDescent="0.25">
      <c r="A150" s="23" t="s">
        <v>879</v>
      </c>
      <c r="B150" s="645" t="s">
        <v>1288</v>
      </c>
      <c r="C150" s="644" t="s">
        <v>1905</v>
      </c>
      <c r="D150" s="667"/>
      <c r="E150" s="667"/>
      <c r="F150" s="562">
        <v>77</v>
      </c>
      <c r="G150" s="494">
        <v>39730</v>
      </c>
    </row>
    <row r="151" spans="1:8" ht="15" customHeight="1" thickBot="1" x14ac:dyDescent="0.25">
      <c r="A151" s="23" t="s">
        <v>880</v>
      </c>
      <c r="B151" s="629" t="s">
        <v>1289</v>
      </c>
      <c r="C151" s="591" t="s">
        <v>973</v>
      </c>
      <c r="D151" s="574">
        <v>49305</v>
      </c>
      <c r="E151" s="574">
        <v>49690</v>
      </c>
      <c r="F151" s="151">
        <f t="shared" si="46"/>
        <v>385</v>
      </c>
      <c r="G151" s="191" t="s">
        <v>967</v>
      </c>
    </row>
    <row r="152" spans="1:8" ht="15" customHeight="1" thickBot="1" x14ac:dyDescent="0.25">
      <c r="A152" s="160" t="s">
        <v>881</v>
      </c>
      <c r="B152" s="645" t="s">
        <v>1290</v>
      </c>
      <c r="C152" s="641" t="s">
        <v>1906</v>
      </c>
      <c r="D152" s="151">
        <v>25325</v>
      </c>
      <c r="E152" s="151">
        <v>25435</v>
      </c>
      <c r="F152" s="151">
        <f t="shared" si="46"/>
        <v>110</v>
      </c>
    </row>
    <row r="153" spans="1:8" ht="15" customHeight="1" thickBot="1" x14ac:dyDescent="0.25">
      <c r="A153" s="187" t="s">
        <v>882</v>
      </c>
      <c r="B153" s="629" t="s">
        <v>1291</v>
      </c>
      <c r="C153" s="591" t="s">
        <v>1907</v>
      </c>
      <c r="D153" s="574">
        <v>1405</v>
      </c>
      <c r="E153" s="574">
        <v>1405</v>
      </c>
      <c r="F153" s="151">
        <f t="shared" si="46"/>
        <v>0</v>
      </c>
      <c r="G153" s="494" t="s">
        <v>1578</v>
      </c>
      <c r="H153" s="836" t="s">
        <v>974</v>
      </c>
    </row>
    <row r="154" spans="1:8" ht="15" customHeight="1" thickBot="1" x14ac:dyDescent="0.25">
      <c r="A154" s="187" t="s">
        <v>883</v>
      </c>
      <c r="B154" s="645" t="s">
        <v>1292</v>
      </c>
      <c r="C154" s="638" t="s">
        <v>972</v>
      </c>
      <c r="D154" s="151">
        <v>31180</v>
      </c>
      <c r="E154" s="151">
        <v>31230</v>
      </c>
      <c r="F154" s="151">
        <f t="shared" si="46"/>
        <v>50</v>
      </c>
      <c r="G154" s="192" t="s">
        <v>970</v>
      </c>
      <c r="H154" s="837"/>
    </row>
    <row r="155" spans="1:8" ht="15" customHeight="1" thickBot="1" x14ac:dyDescent="0.25">
      <c r="A155" s="188" t="s">
        <v>884</v>
      </c>
      <c r="B155" s="629" t="s">
        <v>1878</v>
      </c>
      <c r="C155" s="591" t="s">
        <v>1908</v>
      </c>
      <c r="D155" s="22">
        <v>86040</v>
      </c>
      <c r="E155" s="22">
        <v>86515</v>
      </c>
      <c r="F155" s="151">
        <f t="shared" si="46"/>
        <v>475</v>
      </c>
      <c r="H155" s="837"/>
    </row>
    <row r="156" spans="1:8" ht="15" customHeight="1" thickBot="1" x14ac:dyDescent="0.25">
      <c r="A156" s="189" t="s">
        <v>885</v>
      </c>
      <c r="B156" s="645" t="s">
        <v>1879</v>
      </c>
      <c r="C156" s="638" t="s">
        <v>1369</v>
      </c>
      <c r="D156" s="151">
        <v>28730</v>
      </c>
      <c r="E156" s="151">
        <v>28975</v>
      </c>
      <c r="F156" s="151">
        <f t="shared" si="46"/>
        <v>245</v>
      </c>
      <c r="G156" s="325" t="s">
        <v>1000</v>
      </c>
      <c r="H156" s="837"/>
    </row>
    <row r="157" spans="1:8" ht="15" customHeight="1" thickBot="1" x14ac:dyDescent="0.25">
      <c r="A157" s="149" t="s">
        <v>886</v>
      </c>
      <c r="B157" s="645" t="s">
        <v>1293</v>
      </c>
      <c r="C157" s="591" t="s">
        <v>1027</v>
      </c>
      <c r="D157" s="151">
        <v>40805</v>
      </c>
      <c r="E157" s="151">
        <v>41235</v>
      </c>
      <c r="F157" s="151">
        <f t="shared" si="46"/>
        <v>430</v>
      </c>
      <c r="G157" s="182" t="s">
        <v>1026</v>
      </c>
    </row>
    <row r="158" spans="1:8" ht="15" customHeight="1" thickBot="1" x14ac:dyDescent="0.25">
      <c r="A158" s="141" t="s">
        <v>887</v>
      </c>
      <c r="B158" s="646" t="s">
        <v>1294</v>
      </c>
      <c r="C158" s="650" t="s">
        <v>1680</v>
      </c>
      <c r="D158" s="25">
        <v>8200</v>
      </c>
      <c r="E158" s="25">
        <v>8380</v>
      </c>
      <c r="F158" s="151">
        <f>E158-D158</f>
        <v>180</v>
      </c>
    </row>
    <row r="159" spans="1:8" ht="15" customHeight="1" thickBot="1" x14ac:dyDescent="0.25">
      <c r="A159" s="141" t="s">
        <v>1659</v>
      </c>
      <c r="B159" s="645" t="s">
        <v>1295</v>
      </c>
      <c r="C159" s="625" t="s">
        <v>1909</v>
      </c>
      <c r="D159" s="25">
        <v>9130</v>
      </c>
      <c r="E159" s="25">
        <v>9200</v>
      </c>
      <c r="F159" s="151">
        <f>E159-D159</f>
        <v>70</v>
      </c>
    </row>
    <row r="160" spans="1:8" ht="15" customHeight="1" thickBot="1" x14ac:dyDescent="0.25">
      <c r="A160" s="169" t="s">
        <v>888</v>
      </c>
      <c r="B160" s="646" t="s">
        <v>1296</v>
      </c>
      <c r="C160" s="594" t="s">
        <v>1656</v>
      </c>
      <c r="D160" s="20">
        <v>20225</v>
      </c>
      <c r="E160" s="20">
        <v>20770</v>
      </c>
      <c r="F160" s="151">
        <f t="shared" ref="F160" si="50">E160-D160</f>
        <v>545</v>
      </c>
      <c r="G160" s="494"/>
    </row>
    <row r="161" spans="1:15" ht="15" customHeight="1" thickBot="1" x14ac:dyDescent="0.25">
      <c r="A161" s="23" t="s">
        <v>889</v>
      </c>
      <c r="B161" s="645" t="s">
        <v>1296</v>
      </c>
      <c r="C161" s="593" t="s">
        <v>890</v>
      </c>
      <c r="D161" s="20">
        <v>93740</v>
      </c>
      <c r="E161" s="20">
        <v>93810</v>
      </c>
      <c r="F161" s="151">
        <f t="shared" ref="F161:F162" si="51">E161-D161</f>
        <v>70</v>
      </c>
    </row>
    <row r="162" spans="1:15" ht="15" customHeight="1" thickBot="1" x14ac:dyDescent="0.25">
      <c r="A162" s="23" t="s">
        <v>891</v>
      </c>
      <c r="B162" s="646" t="s">
        <v>1297</v>
      </c>
      <c r="C162" s="594" t="s">
        <v>1910</v>
      </c>
      <c r="D162" s="574">
        <v>81505</v>
      </c>
      <c r="E162" s="574">
        <v>81795</v>
      </c>
      <c r="F162" s="151">
        <f t="shared" si="51"/>
        <v>290</v>
      </c>
    </row>
    <row r="163" spans="1:15" ht="15" customHeight="1" thickBot="1" x14ac:dyDescent="0.25">
      <c r="A163" s="160" t="s">
        <v>892</v>
      </c>
      <c r="B163" s="645" t="s">
        <v>1298</v>
      </c>
      <c r="C163" s="591" t="s">
        <v>1590</v>
      </c>
      <c r="D163" s="574">
        <v>24205</v>
      </c>
      <c r="E163" s="574">
        <v>24610</v>
      </c>
      <c r="F163" s="151">
        <f t="shared" ref="F163" si="52">E163-D163</f>
        <v>405</v>
      </c>
    </row>
    <row r="164" spans="1:15" ht="15" customHeight="1" thickBot="1" x14ac:dyDescent="0.25">
      <c r="A164" s="23" t="s">
        <v>893</v>
      </c>
      <c r="B164" s="646" t="s">
        <v>1299</v>
      </c>
      <c r="C164" s="594" t="s">
        <v>1911</v>
      </c>
      <c r="D164" s="574">
        <v>47175</v>
      </c>
      <c r="E164" s="574">
        <v>47195</v>
      </c>
      <c r="F164" s="161">
        <f>E164-D164</f>
        <v>20</v>
      </c>
      <c r="G164" s="347" t="s">
        <v>1578</v>
      </c>
    </row>
    <row r="165" spans="1:15" ht="15" customHeight="1" thickBot="1" x14ac:dyDescent="0.25">
      <c r="A165" s="23" t="s">
        <v>894</v>
      </c>
      <c r="B165" s="645" t="s">
        <v>1300</v>
      </c>
      <c r="C165" s="591" t="s">
        <v>2018</v>
      </c>
      <c r="D165" s="686">
        <v>2990</v>
      </c>
      <c r="E165" s="686">
        <v>3200</v>
      </c>
      <c r="F165" s="574">
        <f>E165-D165</f>
        <v>210</v>
      </c>
      <c r="G165" s="694"/>
      <c r="O165" s="756"/>
    </row>
    <row r="166" spans="1:15" ht="15" customHeight="1" thickBot="1" x14ac:dyDescent="0.25">
      <c r="A166" s="160" t="s">
        <v>895</v>
      </c>
      <c r="B166" s="646" t="s">
        <v>1301</v>
      </c>
      <c r="C166" s="592" t="s">
        <v>1912</v>
      </c>
      <c r="D166" s="275">
        <v>26115</v>
      </c>
      <c r="E166" s="275">
        <v>26300</v>
      </c>
      <c r="F166" s="173">
        <f>E166-D166</f>
        <v>185</v>
      </c>
      <c r="G166" s="281"/>
    </row>
    <row r="167" spans="1:15" ht="15" customHeight="1" thickBot="1" x14ac:dyDescent="0.25">
      <c r="A167" s="14" t="s">
        <v>897</v>
      </c>
      <c r="B167" s="645" t="s">
        <v>1302</v>
      </c>
      <c r="C167" s="591" t="s">
        <v>1983</v>
      </c>
      <c r="D167" s="22">
        <v>2985</v>
      </c>
      <c r="E167" s="22">
        <v>3240</v>
      </c>
      <c r="F167" s="151">
        <f t="shared" ref="F167" si="53">E167-D167</f>
        <v>255</v>
      </c>
      <c r="G167" s="494"/>
    </row>
    <row r="168" spans="1:15" ht="15" customHeight="1" thickBot="1" x14ac:dyDescent="0.25">
      <c r="A168" s="24" t="s">
        <v>898</v>
      </c>
      <c r="B168" s="646" t="s">
        <v>1303</v>
      </c>
      <c r="C168" s="597" t="s">
        <v>1913</v>
      </c>
      <c r="D168" s="22">
        <v>15050</v>
      </c>
      <c r="E168" s="22">
        <v>15360</v>
      </c>
      <c r="F168" s="151">
        <f t="shared" ref="F168:F172" si="54">E168-D168</f>
        <v>310</v>
      </c>
      <c r="G168" s="180" t="s">
        <v>896</v>
      </c>
    </row>
    <row r="169" spans="1:15" ht="15" customHeight="1" thickBot="1" x14ac:dyDescent="0.25">
      <c r="A169" s="141" t="s">
        <v>899</v>
      </c>
      <c r="B169" s="645" t="s">
        <v>1304</v>
      </c>
      <c r="C169" s="642" t="s">
        <v>1914</v>
      </c>
      <c r="D169" s="21">
        <v>14590</v>
      </c>
      <c r="E169" s="21">
        <v>14780</v>
      </c>
      <c r="F169" s="151">
        <f t="shared" si="54"/>
        <v>190</v>
      </c>
      <c r="G169" s="314" t="s">
        <v>1365</v>
      </c>
    </row>
    <row r="170" spans="1:15" ht="15" customHeight="1" thickBot="1" x14ac:dyDescent="0.25">
      <c r="A170" s="141" t="s">
        <v>900</v>
      </c>
      <c r="B170" s="646" t="s">
        <v>1880</v>
      </c>
      <c r="C170" s="626" t="s">
        <v>1599</v>
      </c>
      <c r="D170" s="151">
        <v>13370</v>
      </c>
      <c r="E170" s="151">
        <v>13560</v>
      </c>
      <c r="F170" s="151">
        <f t="shared" ref="F170" si="55">E170-D170</f>
        <v>190</v>
      </c>
    </row>
    <row r="171" spans="1:15" ht="15" customHeight="1" thickBot="1" x14ac:dyDescent="0.25">
      <c r="A171" s="155" t="s">
        <v>901</v>
      </c>
      <c r="B171" s="645" t="s">
        <v>1286</v>
      </c>
      <c r="C171" s="591" t="s">
        <v>935</v>
      </c>
      <c r="D171" s="151">
        <v>74865</v>
      </c>
      <c r="E171" s="151">
        <v>75410</v>
      </c>
      <c r="F171" s="151">
        <f t="shared" si="54"/>
        <v>545</v>
      </c>
    </row>
    <row r="172" spans="1:15" ht="15" customHeight="1" thickBot="1" x14ac:dyDescent="0.25">
      <c r="A172" s="23" t="s">
        <v>902</v>
      </c>
      <c r="B172" s="646" t="s">
        <v>1305</v>
      </c>
      <c r="C172" s="594" t="s">
        <v>936</v>
      </c>
      <c r="D172" s="20">
        <v>43050</v>
      </c>
      <c r="E172" s="20">
        <v>43460</v>
      </c>
      <c r="F172" s="151">
        <f t="shared" si="54"/>
        <v>410</v>
      </c>
    </row>
    <row r="173" spans="1:15" ht="15" customHeight="1" thickBot="1" x14ac:dyDescent="0.25">
      <c r="A173" s="160" t="s">
        <v>903</v>
      </c>
      <c r="B173" s="645" t="s">
        <v>1299</v>
      </c>
      <c r="C173" s="593" t="s">
        <v>1915</v>
      </c>
      <c r="D173" s="20">
        <v>23015</v>
      </c>
      <c r="E173" s="20">
        <v>23575</v>
      </c>
      <c r="F173" s="151">
        <f t="shared" ref="F173" si="56">E173-D173</f>
        <v>560</v>
      </c>
    </row>
    <row r="174" spans="1:15" ht="15" customHeight="1" thickBot="1" x14ac:dyDescent="0.25">
      <c r="A174" s="23" t="s">
        <v>904</v>
      </c>
      <c r="B174" s="646" t="s">
        <v>1306</v>
      </c>
      <c r="C174" s="592" t="s">
        <v>1916</v>
      </c>
      <c r="D174" s="151">
        <v>12640</v>
      </c>
      <c r="E174" s="151">
        <v>12765</v>
      </c>
      <c r="F174" s="151">
        <f>E174-D174</f>
        <v>125</v>
      </c>
    </row>
    <row r="175" spans="1:15" ht="15" customHeight="1" thickBot="1" x14ac:dyDescent="0.25">
      <c r="A175" s="23" t="s">
        <v>905</v>
      </c>
      <c r="B175" s="645" t="s">
        <v>1307</v>
      </c>
      <c r="C175" s="593" t="s">
        <v>1917</v>
      </c>
      <c r="D175" s="151">
        <v>57245</v>
      </c>
      <c r="E175" s="151">
        <v>57500</v>
      </c>
      <c r="F175" s="151">
        <f>E175-D175</f>
        <v>255</v>
      </c>
      <c r="G175" s="182"/>
      <c r="H175" s="178"/>
      <c r="I175" s="178"/>
      <c r="J175" s="178"/>
    </row>
    <row r="176" spans="1:15" ht="15" customHeight="1" thickBot="1" x14ac:dyDescent="0.25">
      <c r="A176" s="160" t="s">
        <v>907</v>
      </c>
      <c r="B176" s="646" t="s">
        <v>1308</v>
      </c>
      <c r="C176" s="592" t="s">
        <v>937</v>
      </c>
      <c r="D176" s="22">
        <v>47015</v>
      </c>
      <c r="E176" s="22">
        <v>47150</v>
      </c>
      <c r="F176" s="151">
        <f t="shared" ref="F176:F180" si="57">E176-D176</f>
        <v>135</v>
      </c>
      <c r="G176" s="182" t="s">
        <v>906</v>
      </c>
      <c r="H176" s="108"/>
      <c r="I176" s="108"/>
      <c r="J176" s="178"/>
    </row>
    <row r="177" spans="1:10" ht="15" customHeight="1" thickBot="1" x14ac:dyDescent="0.25">
      <c r="A177" s="14" t="s">
        <v>908</v>
      </c>
      <c r="B177" s="645" t="s">
        <v>1881</v>
      </c>
      <c r="C177" s="591" t="s">
        <v>1918</v>
      </c>
      <c r="D177" s="574">
        <v>39025</v>
      </c>
      <c r="E177" s="574">
        <v>39090</v>
      </c>
      <c r="F177" s="574">
        <f>E177-D177</f>
        <v>65</v>
      </c>
    </row>
    <row r="178" spans="1:10" ht="15" customHeight="1" thickBot="1" x14ac:dyDescent="0.25">
      <c r="A178" s="149" t="s">
        <v>909</v>
      </c>
      <c r="B178" s="646" t="s">
        <v>1309</v>
      </c>
      <c r="C178" s="773" t="s">
        <v>2019</v>
      </c>
      <c r="D178" s="574">
        <v>5525</v>
      </c>
      <c r="E178" s="574">
        <v>6625</v>
      </c>
      <c r="F178" s="574">
        <f>E178-D178</f>
        <v>1100</v>
      </c>
      <c r="G178" s="694"/>
    </row>
    <row r="179" spans="1:10" ht="15" customHeight="1" thickBot="1" x14ac:dyDescent="0.25">
      <c r="A179" s="149" t="s">
        <v>910</v>
      </c>
      <c r="B179" s="645" t="s">
        <v>1310</v>
      </c>
      <c r="C179" s="642" t="s">
        <v>1919</v>
      </c>
      <c r="D179" s="170">
        <v>53520</v>
      </c>
      <c r="E179" s="170">
        <v>54115</v>
      </c>
      <c r="F179" s="151">
        <f t="shared" si="57"/>
        <v>595</v>
      </c>
      <c r="G179" s="106"/>
    </row>
    <row r="180" spans="1:10" ht="15" customHeight="1" thickBot="1" x14ac:dyDescent="0.25">
      <c r="A180" s="141" t="s">
        <v>911</v>
      </c>
      <c r="B180" s="646" t="s">
        <v>1311</v>
      </c>
      <c r="C180" s="626" t="s">
        <v>1920</v>
      </c>
      <c r="D180" s="21">
        <v>41985</v>
      </c>
      <c r="E180" s="21">
        <v>42090</v>
      </c>
      <c r="F180" s="151">
        <f t="shared" si="57"/>
        <v>105</v>
      </c>
      <c r="G180" s="314"/>
      <c r="H180" s="166"/>
      <c r="I180" s="166"/>
      <c r="J180" s="178"/>
    </row>
    <row r="181" spans="1:10" ht="15" customHeight="1" thickBot="1" x14ac:dyDescent="0.25">
      <c r="A181" s="169" t="s">
        <v>912</v>
      </c>
      <c r="B181" s="645" t="s">
        <v>1312</v>
      </c>
      <c r="C181" s="591" t="s">
        <v>1618</v>
      </c>
      <c r="D181" s="20">
        <v>12940</v>
      </c>
      <c r="E181" s="20">
        <v>13160</v>
      </c>
      <c r="F181" s="151">
        <f t="shared" ref="F181" si="58">E181-D181</f>
        <v>220</v>
      </c>
      <c r="G181" s="494"/>
    </row>
    <row r="182" spans="1:10" ht="15" customHeight="1" thickBot="1" x14ac:dyDescent="0.25">
      <c r="A182" s="23" t="s">
        <v>913</v>
      </c>
      <c r="B182" s="646" t="s">
        <v>1882</v>
      </c>
      <c r="C182" s="594" t="s">
        <v>1921</v>
      </c>
      <c r="D182" s="20">
        <v>11320</v>
      </c>
      <c r="E182" s="20">
        <v>11445</v>
      </c>
      <c r="F182" s="151">
        <f t="shared" ref="F182" si="59">E182-D182</f>
        <v>125</v>
      </c>
    </row>
    <row r="183" spans="1:10" ht="15" customHeight="1" thickBot="1" x14ac:dyDescent="0.25">
      <c r="A183" s="23" t="s">
        <v>914</v>
      </c>
      <c r="B183" s="645" t="s">
        <v>1883</v>
      </c>
      <c r="C183" s="593" t="s">
        <v>938</v>
      </c>
      <c r="D183" s="20">
        <v>33940</v>
      </c>
      <c r="E183" s="20">
        <v>34105</v>
      </c>
      <c r="F183" s="151">
        <f>E183-D183</f>
        <v>165</v>
      </c>
    </row>
    <row r="184" spans="1:10" ht="15" customHeight="1" thickBot="1" x14ac:dyDescent="0.25">
      <c r="A184" s="23" t="s">
        <v>915</v>
      </c>
      <c r="B184" s="646" t="s">
        <v>1313</v>
      </c>
      <c r="C184" s="594" t="s">
        <v>1591</v>
      </c>
      <c r="D184" s="574">
        <v>26865</v>
      </c>
      <c r="E184" s="574">
        <v>27135</v>
      </c>
      <c r="F184" s="151">
        <f t="shared" ref="F184:F188" si="60">E184-D184</f>
        <v>270</v>
      </c>
      <c r="G184" s="182" t="s">
        <v>916</v>
      </c>
    </row>
    <row r="185" spans="1:10" ht="15" customHeight="1" thickBot="1" x14ac:dyDescent="0.25">
      <c r="A185" s="160" t="s">
        <v>917</v>
      </c>
      <c r="B185" s="645" t="s">
        <v>1314</v>
      </c>
      <c r="C185" s="591" t="s">
        <v>1575</v>
      </c>
      <c r="D185" s="574">
        <v>13130</v>
      </c>
      <c r="E185" s="574">
        <v>13290</v>
      </c>
      <c r="F185" s="151">
        <f t="shared" ref="F185" si="61">E185-D185</f>
        <v>160</v>
      </c>
      <c r="G185" s="516"/>
    </row>
    <row r="186" spans="1:10" ht="15" customHeight="1" thickBot="1" x14ac:dyDescent="0.25">
      <c r="A186" s="23" t="s">
        <v>918</v>
      </c>
      <c r="B186" s="646" t="s">
        <v>1884</v>
      </c>
      <c r="C186" s="594" t="s">
        <v>1922</v>
      </c>
      <c r="D186" s="574">
        <v>22755</v>
      </c>
      <c r="E186" s="574">
        <v>23085</v>
      </c>
      <c r="F186" s="151">
        <f>E186-D186</f>
        <v>330</v>
      </c>
    </row>
    <row r="187" spans="1:10" ht="15" customHeight="1" thickBot="1" x14ac:dyDescent="0.25">
      <c r="A187" s="23" t="s">
        <v>919</v>
      </c>
      <c r="B187" s="645" t="s">
        <v>1315</v>
      </c>
      <c r="C187" s="591" t="s">
        <v>1923</v>
      </c>
      <c r="D187" s="275">
        <v>41455</v>
      </c>
      <c r="E187" s="275">
        <v>41520</v>
      </c>
      <c r="F187" s="151">
        <f t="shared" si="60"/>
        <v>65</v>
      </c>
      <c r="G187" s="126"/>
    </row>
    <row r="188" spans="1:10" ht="15" customHeight="1" thickBot="1" x14ac:dyDescent="0.25">
      <c r="A188" s="160" t="s">
        <v>920</v>
      </c>
      <c r="B188" s="646" t="s">
        <v>1368</v>
      </c>
      <c r="C188" s="592" t="s">
        <v>1924</v>
      </c>
      <c r="D188" s="686">
        <v>15855</v>
      </c>
      <c r="E188" s="686">
        <v>16090</v>
      </c>
      <c r="F188" s="151">
        <f t="shared" si="60"/>
        <v>235</v>
      </c>
      <c r="G188" s="351"/>
    </row>
    <row r="189" spans="1:10" ht="15.75" customHeight="1" thickBot="1" x14ac:dyDescent="0.25">
      <c r="A189" s="14" t="s">
        <v>921</v>
      </c>
      <c r="B189" s="645" t="s">
        <v>1885</v>
      </c>
      <c r="C189" s="591" t="s">
        <v>1925</v>
      </c>
      <c r="D189" s="275">
        <v>130305</v>
      </c>
      <c r="E189" s="275">
        <v>130725</v>
      </c>
      <c r="F189" s="151">
        <f t="shared" ref="F189:F199" si="62">E189-D189</f>
        <v>420</v>
      </c>
      <c r="G189" s="127"/>
    </row>
    <row r="190" spans="1:10" ht="15.75" customHeight="1" thickBot="1" x14ac:dyDescent="0.25">
      <c r="A190" s="23" t="s">
        <v>922</v>
      </c>
      <c r="B190" s="714" t="s">
        <v>1316</v>
      </c>
      <c r="C190" s="658" t="s">
        <v>1939</v>
      </c>
      <c r="D190" s="275">
        <v>11635</v>
      </c>
      <c r="E190" s="275">
        <v>11930</v>
      </c>
      <c r="F190" s="151">
        <f t="shared" ref="F190" si="63">E190-D190</f>
        <v>295</v>
      </c>
      <c r="G190" s="127"/>
    </row>
    <row r="191" spans="1:10" ht="15.75" customHeight="1" thickBot="1" x14ac:dyDescent="0.25">
      <c r="A191" s="165" t="s">
        <v>923</v>
      </c>
      <c r="B191" s="613" t="s">
        <v>1926</v>
      </c>
      <c r="C191" s="653" t="s">
        <v>1929</v>
      </c>
      <c r="D191" s="275">
        <v>31905</v>
      </c>
      <c r="E191" s="275">
        <v>32875</v>
      </c>
      <c r="F191" s="151">
        <f t="shared" ref="F191" si="64">E191-D191</f>
        <v>970</v>
      </c>
    </row>
    <row r="192" spans="1:10" ht="15" customHeight="1" thickBot="1" x14ac:dyDescent="0.25">
      <c r="A192" s="14" t="s">
        <v>924</v>
      </c>
      <c r="B192" s="618" t="s">
        <v>1927</v>
      </c>
      <c r="C192" s="591" t="s">
        <v>1930</v>
      </c>
      <c r="D192" s="574">
        <v>40225</v>
      </c>
      <c r="E192" s="574">
        <v>40570</v>
      </c>
      <c r="F192" s="151">
        <f t="shared" si="62"/>
        <v>345</v>
      </c>
      <c r="G192" s="314" t="s">
        <v>1359</v>
      </c>
    </row>
    <row r="193" spans="1:7" ht="15" customHeight="1" thickBot="1" x14ac:dyDescent="0.25">
      <c r="A193" s="14" t="s">
        <v>1615</v>
      </c>
      <c r="B193" s="617" t="s">
        <v>1613</v>
      </c>
      <c r="C193" s="591" t="s">
        <v>1614</v>
      </c>
      <c r="D193" s="151">
        <v>29365</v>
      </c>
      <c r="E193" s="151">
        <v>29390</v>
      </c>
      <c r="F193" s="151">
        <f t="shared" ref="F193" si="65">E193-D193</f>
        <v>25</v>
      </c>
      <c r="G193" s="529"/>
    </row>
    <row r="194" spans="1:7" ht="15" customHeight="1" thickBot="1" x14ac:dyDescent="0.25">
      <c r="A194" s="141" t="s">
        <v>925</v>
      </c>
      <c r="B194" s="613" t="s">
        <v>1287</v>
      </c>
      <c r="C194" s="642" t="s">
        <v>1931</v>
      </c>
      <c r="D194" s="21">
        <v>10225</v>
      </c>
      <c r="E194" s="21">
        <v>10225</v>
      </c>
      <c r="F194" s="151">
        <f t="shared" si="62"/>
        <v>0</v>
      </c>
      <c r="G194" t="s">
        <v>1578</v>
      </c>
    </row>
    <row r="195" spans="1:7" ht="15" customHeight="1" thickBot="1" x14ac:dyDescent="0.25">
      <c r="A195" s="141" t="s">
        <v>926</v>
      </c>
      <c r="B195" s="619" t="s">
        <v>1317</v>
      </c>
      <c r="C195" s="625" t="s">
        <v>1592</v>
      </c>
      <c r="D195" s="275">
        <v>12155</v>
      </c>
      <c r="E195" s="275">
        <v>12210</v>
      </c>
      <c r="F195" s="574">
        <f t="shared" ref="F195" si="66">E195-D195</f>
        <v>55</v>
      </c>
      <c r="G195" s="182" t="s">
        <v>1612</v>
      </c>
    </row>
    <row r="196" spans="1:7" ht="15" customHeight="1" thickBot="1" x14ac:dyDescent="0.25">
      <c r="A196" s="23" t="s">
        <v>927</v>
      </c>
      <c r="B196" s="613" t="s">
        <v>1318</v>
      </c>
      <c r="C196" s="591" t="s">
        <v>1474</v>
      </c>
      <c r="D196" s="158">
        <v>31700</v>
      </c>
      <c r="E196" s="158">
        <v>31850</v>
      </c>
      <c r="F196" s="151">
        <f t="shared" ref="F196" si="67">E196-D196</f>
        <v>150</v>
      </c>
    </row>
    <row r="197" spans="1:7" ht="15" customHeight="1" thickBot="1" x14ac:dyDescent="0.25">
      <c r="A197" s="23" t="s">
        <v>928</v>
      </c>
      <c r="B197" s="613" t="s">
        <v>1319</v>
      </c>
      <c r="C197" s="593" t="s">
        <v>1632</v>
      </c>
      <c r="D197" s="151">
        <v>11640</v>
      </c>
      <c r="E197" s="151">
        <v>11915</v>
      </c>
      <c r="F197" s="151">
        <f t="shared" ref="F197" si="68">E197-D197</f>
        <v>275</v>
      </c>
      <c r="G197" s="458"/>
    </row>
    <row r="198" spans="1:7" ht="15" customHeight="1" thickBot="1" x14ac:dyDescent="0.25">
      <c r="A198" s="160" t="s">
        <v>929</v>
      </c>
      <c r="B198" s="619" t="s">
        <v>1320</v>
      </c>
      <c r="C198" s="593" t="s">
        <v>1663</v>
      </c>
      <c r="D198" s="151">
        <v>20420</v>
      </c>
      <c r="E198" s="151">
        <v>20815</v>
      </c>
      <c r="F198" s="151">
        <f t="shared" ref="F198" si="69">E198-D198</f>
        <v>395</v>
      </c>
      <c r="G198" s="126"/>
    </row>
    <row r="199" spans="1:7" ht="15" customHeight="1" thickBot="1" x14ac:dyDescent="0.25">
      <c r="A199" s="23" t="s">
        <v>930</v>
      </c>
      <c r="B199" s="613" t="s">
        <v>1928</v>
      </c>
      <c r="C199" s="591" t="s">
        <v>1932</v>
      </c>
      <c r="D199" s="151">
        <v>16980</v>
      </c>
      <c r="E199" s="151">
        <v>17035</v>
      </c>
      <c r="F199" s="151">
        <f t="shared" si="62"/>
        <v>55</v>
      </c>
      <c r="G199" s="659"/>
    </row>
    <row r="200" spans="1:7" ht="15" customHeight="1" thickBot="1" x14ac:dyDescent="0.25">
      <c r="A200" s="23" t="s">
        <v>931</v>
      </c>
      <c r="B200" s="619" t="s">
        <v>1321</v>
      </c>
      <c r="C200" s="593" t="s">
        <v>1933</v>
      </c>
      <c r="D200" s="151"/>
      <c r="E200" s="151"/>
      <c r="F200" s="562">
        <v>216</v>
      </c>
      <c r="G200">
        <v>23010</v>
      </c>
    </row>
    <row r="201" spans="1:7" ht="15" customHeight="1" thickBot="1" x14ac:dyDescent="0.25">
      <c r="A201" s="652" t="s">
        <v>932</v>
      </c>
      <c r="B201" s="651" t="s">
        <v>1322</v>
      </c>
      <c r="C201" s="593" t="s">
        <v>1549</v>
      </c>
      <c r="D201" s="151">
        <v>18875</v>
      </c>
      <c r="E201" s="151">
        <v>19065</v>
      </c>
      <c r="F201" s="151">
        <f t="shared" ref="F201" si="70">E201-D201</f>
        <v>190</v>
      </c>
    </row>
    <row r="202" spans="1:7" ht="13.5" thickBot="1" x14ac:dyDescent="0.25">
      <c r="A202" s="122"/>
      <c r="B202" s="124"/>
      <c r="D202" s="124" t="s">
        <v>1010</v>
      </c>
      <c r="E202" s="124"/>
      <c r="F202" s="501">
        <f>SUM(F6:F201)-G202</f>
        <v>45180</v>
      </c>
      <c r="G202" s="502">
        <f>F121+F60+F59+F200+F150+F149</f>
        <v>868</v>
      </c>
    </row>
    <row r="203" spans="1:7" x14ac:dyDescent="0.2">
      <c r="A203" s="122"/>
      <c r="B203" s="124"/>
      <c r="C203" s="123"/>
      <c r="D203" s="114"/>
      <c r="E203" s="124"/>
      <c r="F203" s="125"/>
    </row>
    <row r="204" spans="1:7" ht="13.5" thickBot="1" x14ac:dyDescent="0.25">
      <c r="A204" s="128"/>
      <c r="B204" s="129"/>
      <c r="C204" s="841" t="s">
        <v>1033</v>
      </c>
      <c r="D204" s="841"/>
      <c r="E204" s="841"/>
      <c r="F204" s="451">
        <f>SUM('Общ. счетчики'!G38:G39)</f>
        <v>42680</v>
      </c>
    </row>
    <row r="205" spans="1:7" ht="16.5" customHeight="1" x14ac:dyDescent="0.2">
      <c r="E205" s="130"/>
    </row>
  </sheetData>
  <autoFilter ref="F1:F205"/>
  <customSheetViews>
    <customSheetView guid="{59BB3A05-2517-4212-B4B0-766CE27362F6}" scale="120" showPageBreaks="1" printArea="1" showAutoFilter="1" hiddenColumns="1" state="hidden" view="pageBreakPreview" topLeftCell="A196">
      <selection activeCell="E154" sqref="E154"/>
      <pageMargins left="0.78740157480314965" right="0.39370078740157483" top="0.59055118110236227" bottom="0.59055118110236227" header="0" footer="0"/>
      <pageSetup paperSize="9" fitToHeight="0" orientation="portrait" r:id="rId1"/>
      <headerFooter alignWithMargins="0"/>
      <autoFilter ref="F1:F205"/>
    </customSheetView>
    <customSheetView guid="{11E80AD0-6AA7-470D-8311-11AF96F196E5}" scale="120" showPageBreaks="1" printArea="1" hiddenColumns="1" view="pageBreakPreview" topLeftCell="A197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2"/>
      <headerFooter alignWithMargins="0"/>
    </customSheetView>
    <customSheetView guid="{1298D0A2-0CF6-434E-A6CD-B210E2963ADD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3"/>
      <headerFooter alignWithMargins="0"/>
    </customSheetView>
  </customSheetViews>
  <mergeCells count="12">
    <mergeCell ref="C204:E204"/>
    <mergeCell ref="A3:A5"/>
    <mergeCell ref="B3:B5"/>
    <mergeCell ref="C3:C5"/>
    <mergeCell ref="D3:E4"/>
    <mergeCell ref="F3:F5"/>
    <mergeCell ref="G144:G147"/>
    <mergeCell ref="H153:H156"/>
    <mergeCell ref="C1:E1"/>
    <mergeCell ref="E2:F2"/>
    <mergeCell ref="G99:G102"/>
    <mergeCell ref="G74:O74"/>
  </mergeCells>
  <phoneticPr fontId="11" type="noConversion"/>
  <pageMargins left="0.78740157480314965" right="0.39370078740157483" top="0.59055118110236227" bottom="0.59055118110236227" header="0" footer="0"/>
  <pageSetup paperSize="9" fitToHeight="0" orientation="portrait" r:id="rId4"/>
  <headerFooter alignWithMargins="0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view="pageBreakPreview" zoomScaleSheetLayoutView="100" workbookViewId="0">
      <selection activeCell="I13" sqref="I13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8" width="12.42578125" customWidth="1"/>
    <col min="9" max="9" width="29.7109375" customWidth="1"/>
  </cols>
  <sheetData>
    <row r="1" spans="1:8" ht="22.5" customHeight="1" x14ac:dyDescent="0.2">
      <c r="C1" s="811" t="s">
        <v>1041</v>
      </c>
      <c r="D1" s="811"/>
      <c r="E1" s="859" t="s">
        <v>1990</v>
      </c>
      <c r="F1" s="859"/>
    </row>
    <row r="2" spans="1:8" ht="13.5" thickBot="1" x14ac:dyDescent="0.25">
      <c r="A2" s="863" t="s">
        <v>28</v>
      </c>
      <c r="B2" s="864"/>
      <c r="C2" s="238"/>
      <c r="F2" s="2"/>
    </row>
    <row r="3" spans="1:8" s="106" customFormat="1" ht="11.25" customHeight="1" x14ac:dyDescent="0.2">
      <c r="A3" s="858" t="s">
        <v>480</v>
      </c>
      <c r="B3" s="858" t="s">
        <v>481</v>
      </c>
      <c r="C3" s="858" t="s">
        <v>1</v>
      </c>
      <c r="D3" s="858" t="s">
        <v>2</v>
      </c>
      <c r="E3" s="858"/>
      <c r="F3" s="860" t="s">
        <v>482</v>
      </c>
    </row>
    <row r="4" spans="1:8" s="106" customFormat="1" ht="11.25" x14ac:dyDescent="0.2">
      <c r="A4" s="858"/>
      <c r="B4" s="858"/>
      <c r="C4" s="858"/>
      <c r="D4" s="858"/>
      <c r="E4" s="858"/>
      <c r="F4" s="861"/>
    </row>
    <row r="5" spans="1:8" s="106" customFormat="1" ht="12" thickBot="1" x14ac:dyDescent="0.25">
      <c r="A5" s="858"/>
      <c r="B5" s="858"/>
      <c r="C5" s="858"/>
      <c r="D5" s="239" t="s">
        <v>6</v>
      </c>
      <c r="E5" s="240" t="s">
        <v>7</v>
      </c>
      <c r="F5" s="862"/>
    </row>
    <row r="6" spans="1:8" s="106" customFormat="1" ht="12.75" customHeight="1" thickBot="1" x14ac:dyDescent="0.25">
      <c r="A6" s="241" t="s">
        <v>28</v>
      </c>
      <c r="B6" s="241"/>
      <c r="C6" s="241"/>
      <c r="D6" s="242">
        <v>44978</v>
      </c>
      <c r="E6" s="242">
        <v>45007</v>
      </c>
      <c r="F6" s="136"/>
    </row>
    <row r="7" spans="1:8" s="106" customFormat="1" ht="24" customHeight="1" x14ac:dyDescent="0.2">
      <c r="A7" s="301" t="s">
        <v>1496</v>
      </c>
      <c r="B7" s="243" t="s">
        <v>1476</v>
      </c>
      <c r="C7" s="244" t="s">
        <v>1477</v>
      </c>
      <c r="D7" s="575">
        <v>9169</v>
      </c>
      <c r="E7" s="575"/>
      <c r="F7" s="370">
        <f t="shared" ref="F7" si="0">E7-D7</f>
        <v>-9169</v>
      </c>
      <c r="G7" s="491" t="s">
        <v>1520</v>
      </c>
      <c r="H7" s="682"/>
    </row>
    <row r="8" spans="1:8" s="106" customFormat="1" ht="22.5" x14ac:dyDescent="0.2">
      <c r="A8" s="50" t="s">
        <v>1581</v>
      </c>
      <c r="B8" s="243" t="s">
        <v>1576</v>
      </c>
      <c r="C8" s="244" t="s">
        <v>1577</v>
      </c>
      <c r="D8" s="548">
        <v>15832</v>
      </c>
      <c r="E8" s="548"/>
      <c r="F8" s="230">
        <f t="shared" ref="F8" si="1">E8-D8</f>
        <v>-15832</v>
      </c>
      <c r="G8" s="491" t="s">
        <v>1520</v>
      </c>
      <c r="H8" s="585"/>
    </row>
    <row r="9" spans="1:8" s="106" customFormat="1" ht="25.5" customHeight="1" x14ac:dyDescent="0.2">
      <c r="A9" s="301" t="s">
        <v>1945</v>
      </c>
      <c r="B9" s="301" t="s">
        <v>1940</v>
      </c>
      <c r="C9" s="246" t="s">
        <v>1942</v>
      </c>
      <c r="D9" s="575">
        <v>344</v>
      </c>
      <c r="E9" s="575"/>
      <c r="F9" s="292">
        <f t="shared" ref="F9:F13" si="2">E9-D9</f>
        <v>-344</v>
      </c>
      <c r="G9" s="491"/>
      <c r="H9" s="682"/>
    </row>
    <row r="10" spans="1:8" s="106" customFormat="1" ht="24.75" customHeight="1" x14ac:dyDescent="0.2">
      <c r="A10" s="50" t="s">
        <v>1582</v>
      </c>
      <c r="B10" s="243" t="s">
        <v>1565</v>
      </c>
      <c r="C10" s="245" t="s">
        <v>1566</v>
      </c>
      <c r="D10" s="575">
        <v>38755</v>
      </c>
      <c r="E10" s="575"/>
      <c r="F10" s="292">
        <f>E10-D10</f>
        <v>-38755</v>
      </c>
      <c r="G10" s="519" t="s">
        <v>1564</v>
      </c>
      <c r="H10" s="682"/>
    </row>
    <row r="11" spans="1:8" s="106" customFormat="1" ht="24" customHeight="1" x14ac:dyDescent="0.2">
      <c r="A11" s="50" t="s">
        <v>1521</v>
      </c>
      <c r="B11" s="243" t="s">
        <v>1508</v>
      </c>
      <c r="C11" s="245" t="s">
        <v>1509</v>
      </c>
      <c r="D11" s="548">
        <v>41465</v>
      </c>
      <c r="E11" s="548"/>
      <c r="F11" s="292">
        <f t="shared" ref="F11" si="3">E11-D11</f>
        <v>-41465</v>
      </c>
      <c r="G11" s="492" t="s">
        <v>1520</v>
      </c>
    </row>
    <row r="12" spans="1:8" s="106" customFormat="1" ht="22.5" x14ac:dyDescent="0.2">
      <c r="A12" s="50" t="s">
        <v>39</v>
      </c>
      <c r="B12" s="243" t="s">
        <v>1457</v>
      </c>
      <c r="C12" s="246" t="s">
        <v>1487</v>
      </c>
      <c r="D12" s="548">
        <v>24273</v>
      </c>
      <c r="E12" s="548"/>
      <c r="F12" s="292">
        <f t="shared" si="2"/>
        <v>-24273</v>
      </c>
      <c r="G12" s="490" t="s">
        <v>1519</v>
      </c>
    </row>
    <row r="13" spans="1:8" s="106" customFormat="1" ht="22.5" x14ac:dyDescent="0.2">
      <c r="A13" s="50" t="s">
        <v>41</v>
      </c>
      <c r="B13" s="243" t="s">
        <v>1385</v>
      </c>
      <c r="C13" s="246" t="s">
        <v>483</v>
      </c>
      <c r="D13" s="575">
        <v>1317</v>
      </c>
      <c r="E13" s="575"/>
      <c r="F13" s="292">
        <f t="shared" si="2"/>
        <v>-1317</v>
      </c>
      <c r="G13" s="276"/>
    </row>
    <row r="14" spans="1:8" s="106" customFormat="1" ht="25.5" customHeight="1" x14ac:dyDescent="0.2">
      <c r="A14" s="50" t="s">
        <v>43</v>
      </c>
      <c r="B14" s="243" t="s">
        <v>1517</v>
      </c>
      <c r="C14" s="246" t="s">
        <v>1518</v>
      </c>
      <c r="D14" s="575">
        <v>1853</v>
      </c>
      <c r="E14" s="575"/>
      <c r="F14" s="315">
        <f t="shared" ref="F14" si="4">E14-D14</f>
        <v>-1853</v>
      </c>
      <c r="G14" s="492" t="s">
        <v>1519</v>
      </c>
      <c r="H14" s="551"/>
    </row>
    <row r="15" spans="1:8" s="106" customFormat="1" ht="25.5" customHeight="1" x14ac:dyDescent="0.2">
      <c r="A15" s="50" t="s">
        <v>1354</v>
      </c>
      <c r="B15" s="298" t="s">
        <v>1953</v>
      </c>
      <c r="C15" s="246" t="s">
        <v>1952</v>
      </c>
      <c r="D15" s="548">
        <v>10326</v>
      </c>
      <c r="E15" s="548"/>
      <c r="F15" s="533">
        <f>E15-D15</f>
        <v>-10326</v>
      </c>
      <c r="G15" s="276"/>
    </row>
    <row r="16" spans="1:8" s="106" customFormat="1" ht="25.5" customHeight="1" x14ac:dyDescent="0.2">
      <c r="A16" s="50" t="s">
        <v>1607</v>
      </c>
      <c r="B16" s="298" t="s">
        <v>1987</v>
      </c>
      <c r="C16" s="246" t="s">
        <v>1606</v>
      </c>
      <c r="D16" s="190">
        <v>717</v>
      </c>
      <c r="E16" s="190"/>
      <c r="F16" s="533">
        <f t="shared" ref="F16" si="5">E16-D16</f>
        <v>-717</v>
      </c>
      <c r="G16" s="276"/>
    </row>
    <row r="17" spans="1:8" s="106" customFormat="1" ht="25.5" customHeight="1" thickBot="1" x14ac:dyDescent="0.25">
      <c r="A17" s="661" t="s">
        <v>1947</v>
      </c>
      <c r="B17" s="298" t="s">
        <v>1946</v>
      </c>
      <c r="C17" s="246" t="s">
        <v>1949</v>
      </c>
      <c r="D17" s="190">
        <v>1338</v>
      </c>
      <c r="E17" s="190"/>
      <c r="F17" s="533">
        <f t="shared" ref="F17" si="6">E17-D17</f>
        <v>-1338</v>
      </c>
      <c r="G17" s="276"/>
    </row>
    <row r="18" spans="1:8" s="106" customFormat="1" ht="18" customHeight="1" thickBot="1" x14ac:dyDescent="0.25">
      <c r="A18" s="50"/>
      <c r="B18" s="243" t="s">
        <v>1035</v>
      </c>
      <c r="C18" s="299" t="e">
        <f>SUM('Общ. счетчики'!#REF!)</f>
        <v>#REF!</v>
      </c>
      <c r="D18" s="190"/>
      <c r="E18" s="190"/>
      <c r="F18" s="227">
        <f>SUM(F7:F14)</f>
        <v>-133008</v>
      </c>
      <c r="G18" s="107"/>
    </row>
    <row r="19" spans="1:8" s="106" customFormat="1" ht="18" customHeight="1" thickBot="1" x14ac:dyDescent="0.25">
      <c r="A19" s="50"/>
      <c r="B19" s="298" t="s">
        <v>1470</v>
      </c>
      <c r="C19" s="299">
        <f>'Общ. счетчики'!G8+'Общ. счетчики'!G9</f>
        <v>2745</v>
      </c>
      <c r="D19" s="190"/>
      <c r="E19" s="190"/>
      <c r="F19" s="471">
        <f>F15+F16</f>
        <v>-11043</v>
      </c>
      <c r="G19" s="107"/>
    </row>
    <row r="20" spans="1:8" s="106" customFormat="1" ht="22.5" x14ac:dyDescent="0.2">
      <c r="A20" s="50" t="s">
        <v>45</v>
      </c>
      <c r="B20" s="243" t="s">
        <v>1986</v>
      </c>
      <c r="C20" s="246" t="s">
        <v>1451</v>
      </c>
      <c r="D20" s="548">
        <v>40194</v>
      </c>
      <c r="E20" s="548"/>
      <c r="F20" s="232">
        <f t="shared" ref="F20:F26" si="7">E20-D20</f>
        <v>-40194</v>
      </c>
      <c r="G20" s="492" t="s">
        <v>1519</v>
      </c>
      <c r="H20" s="681"/>
    </row>
    <row r="21" spans="1:8" s="106" customFormat="1" ht="25.5" customHeight="1" x14ac:dyDescent="0.2">
      <c r="A21" s="50" t="s">
        <v>1522</v>
      </c>
      <c r="B21" s="243" t="s">
        <v>1515</v>
      </c>
      <c r="C21" s="244" t="s">
        <v>1516</v>
      </c>
      <c r="D21" s="575">
        <v>23901</v>
      </c>
      <c r="E21" s="575"/>
      <c r="F21" s="230">
        <f t="shared" ref="F21" si="8">E21-D21</f>
        <v>-23901</v>
      </c>
      <c r="G21" s="490" t="s">
        <v>1520</v>
      </c>
      <c r="H21" s="682"/>
    </row>
    <row r="22" spans="1:8" s="106" customFormat="1" ht="30" customHeight="1" x14ac:dyDescent="0.2">
      <c r="A22" s="301" t="s">
        <v>1541</v>
      </c>
      <c r="B22" s="51" t="s">
        <v>1542</v>
      </c>
      <c r="C22" s="244" t="s">
        <v>1524</v>
      </c>
      <c r="D22" s="548">
        <v>31968</v>
      </c>
      <c r="E22" s="548"/>
      <c r="F22" s="230">
        <f t="shared" ref="F22" si="9">E22-D22</f>
        <v>-31968</v>
      </c>
      <c r="G22" s="490" t="s">
        <v>1520</v>
      </c>
      <c r="H22" s="683" t="s">
        <v>1943</v>
      </c>
    </row>
    <row r="23" spans="1:8" s="106" customFormat="1" ht="33.75" x14ac:dyDescent="0.2">
      <c r="A23" s="50" t="s">
        <v>1523</v>
      </c>
      <c r="B23" s="243" t="s">
        <v>1502</v>
      </c>
      <c r="C23" s="244" t="s">
        <v>1503</v>
      </c>
      <c r="D23" s="548">
        <v>5560</v>
      </c>
      <c r="E23" s="548"/>
      <c r="F23" s="230">
        <f t="shared" ref="F23" si="10">E23-D23</f>
        <v>-5560</v>
      </c>
      <c r="G23" s="491" t="s">
        <v>1520</v>
      </c>
      <c r="H23" s="682"/>
    </row>
    <row r="24" spans="1:8" s="106" customFormat="1" ht="28.5" customHeight="1" x14ac:dyDescent="0.2">
      <c r="A24" s="50" t="s">
        <v>53</v>
      </c>
      <c r="B24" s="298" t="s">
        <v>1465</v>
      </c>
      <c r="C24" s="245" t="s">
        <v>484</v>
      </c>
      <c r="D24" s="190">
        <v>26350</v>
      </c>
      <c r="E24" s="190"/>
      <c r="F24" s="535">
        <f t="shared" si="7"/>
        <v>-26350</v>
      </c>
      <c r="G24" s="219" t="s">
        <v>1422</v>
      </c>
    </row>
    <row r="25" spans="1:8" s="106" customFormat="1" ht="28.5" customHeight="1" x14ac:dyDescent="0.2">
      <c r="A25" s="50" t="s">
        <v>1037</v>
      </c>
      <c r="B25" s="298" t="s">
        <v>1676</v>
      </c>
      <c r="C25" s="245" t="s">
        <v>1038</v>
      </c>
      <c r="D25" s="548">
        <v>16055</v>
      </c>
      <c r="E25" s="548"/>
      <c r="F25" s="535">
        <f t="shared" si="7"/>
        <v>-16055</v>
      </c>
      <c r="G25" s="441"/>
    </row>
    <row r="26" spans="1:8" s="106" customFormat="1" ht="28.5" customHeight="1" thickBot="1" x14ac:dyDescent="0.25">
      <c r="A26" s="50" t="s">
        <v>66</v>
      </c>
      <c r="B26" s="298" t="s">
        <v>1466</v>
      </c>
      <c r="C26" s="190" t="s">
        <v>485</v>
      </c>
      <c r="D26" s="548">
        <v>24624</v>
      </c>
      <c r="E26" s="548"/>
      <c r="F26" s="535">
        <f t="shared" si="7"/>
        <v>-24624</v>
      </c>
      <c r="G26" s="219"/>
    </row>
    <row r="27" spans="1:8" s="106" customFormat="1" ht="18" customHeight="1" thickBot="1" x14ac:dyDescent="0.25">
      <c r="A27" s="50"/>
      <c r="B27" s="243" t="s">
        <v>1035</v>
      </c>
      <c r="C27" s="300" t="e">
        <f>SUM('Общ. счетчики'!#REF!)</f>
        <v>#REF!</v>
      </c>
      <c r="D27" s="190"/>
      <c r="E27" s="190"/>
      <c r="F27" s="488">
        <f>SUM(F20:F23)</f>
        <v>-101623</v>
      </c>
      <c r="G27" s="219"/>
    </row>
    <row r="28" spans="1:8" s="106" customFormat="1" ht="18" customHeight="1" x14ac:dyDescent="0.2">
      <c r="A28" s="50"/>
      <c r="B28" s="247" t="s">
        <v>1470</v>
      </c>
      <c r="C28" s="300">
        <f>'Общ. счетчики'!G13+'Общ. счетчики'!G14</f>
        <v>850</v>
      </c>
      <c r="D28" s="190"/>
      <c r="E28" s="190"/>
      <c r="F28" s="487">
        <f>SUM(F24:F26)</f>
        <v>-67029</v>
      </c>
      <c r="G28" s="219"/>
    </row>
    <row r="29" spans="1:8" s="106" customFormat="1" ht="24" customHeight="1" x14ac:dyDescent="0.2">
      <c r="A29" s="301" t="s">
        <v>1497</v>
      </c>
      <c r="B29" s="301" t="s">
        <v>1484</v>
      </c>
      <c r="C29" s="244" t="s">
        <v>1485</v>
      </c>
      <c r="D29" s="548">
        <v>60131</v>
      </c>
      <c r="E29" s="548"/>
      <c r="F29" s="233">
        <f t="shared" ref="F29" si="11">E29-D29</f>
        <v>-60131</v>
      </c>
      <c r="G29" s="491" t="s">
        <v>1520</v>
      </c>
      <c r="H29" s="681"/>
    </row>
    <row r="30" spans="1:8" s="106" customFormat="1" ht="24" customHeight="1" x14ac:dyDescent="0.2">
      <c r="A30" s="50" t="s">
        <v>1554</v>
      </c>
      <c r="B30" s="274" t="s">
        <v>1331</v>
      </c>
      <c r="C30" s="244" t="s">
        <v>1539</v>
      </c>
      <c r="D30" s="548">
        <v>5746</v>
      </c>
      <c r="E30" s="548"/>
      <c r="F30" s="231">
        <f t="shared" ref="F30" si="12">E30-D30</f>
        <v>-5746</v>
      </c>
      <c r="G30" s="491" t="s">
        <v>1519</v>
      </c>
    </row>
    <row r="31" spans="1:8" s="106" customFormat="1" ht="24" customHeight="1" x14ac:dyDescent="0.2">
      <c r="A31" s="50" t="s">
        <v>58</v>
      </c>
      <c r="B31" s="243" t="s">
        <v>59</v>
      </c>
      <c r="C31" s="246" t="s">
        <v>1631</v>
      </c>
      <c r="D31" s="548">
        <v>25413</v>
      </c>
      <c r="E31" s="548"/>
      <c r="F31" s="315">
        <f t="shared" ref="F31" si="13">E31-D31</f>
        <v>-25413</v>
      </c>
      <c r="G31" s="552"/>
      <c r="H31" s="553"/>
    </row>
    <row r="32" spans="1:8" s="106" customFormat="1" ht="22.5" customHeight="1" x14ac:dyDescent="0.2">
      <c r="A32" s="50" t="s">
        <v>1551</v>
      </c>
      <c r="B32" s="243" t="s">
        <v>1341</v>
      </c>
      <c r="C32" s="245" t="s">
        <v>1532</v>
      </c>
      <c r="D32" s="583">
        <v>31715</v>
      </c>
      <c r="E32" s="583"/>
      <c r="F32" s="231">
        <f>E32-D32</f>
        <v>-31715</v>
      </c>
      <c r="G32" s="492" t="s">
        <v>1519</v>
      </c>
    </row>
    <row r="33" spans="1:8" s="106" customFormat="1" ht="22.5" customHeight="1" x14ac:dyDescent="0.2">
      <c r="A33" s="50" t="s">
        <v>1563</v>
      </c>
      <c r="B33" s="243" t="s">
        <v>1555</v>
      </c>
      <c r="C33" s="244" t="s">
        <v>1561</v>
      </c>
      <c r="D33" s="548">
        <v>23313</v>
      </c>
      <c r="E33" s="548"/>
      <c r="F33" s="231">
        <f t="shared" ref="F33" si="14">E33-D33</f>
        <v>-23313</v>
      </c>
      <c r="G33" s="515" t="s">
        <v>1520</v>
      </c>
    </row>
    <row r="34" spans="1:8" s="106" customFormat="1" ht="24.75" customHeight="1" x14ac:dyDescent="0.2">
      <c r="A34" s="50" t="s">
        <v>1498</v>
      </c>
      <c r="B34" s="243" t="s">
        <v>1480</v>
      </c>
      <c r="C34" s="244" t="s">
        <v>1481</v>
      </c>
      <c r="D34" s="190">
        <v>77038</v>
      </c>
      <c r="E34" s="190"/>
      <c r="F34" s="231">
        <f t="shared" ref="F34" si="15">E34-D34</f>
        <v>-77038</v>
      </c>
      <c r="G34" s="184" t="s">
        <v>1519</v>
      </c>
    </row>
    <row r="35" spans="1:8" s="106" customFormat="1" ht="29.25" customHeight="1" x14ac:dyDescent="0.2">
      <c r="A35" s="248" t="s">
        <v>1384</v>
      </c>
      <c r="B35" s="249" t="s">
        <v>1467</v>
      </c>
      <c r="C35" s="457">
        <v>32222217</v>
      </c>
      <c r="D35" s="548">
        <v>1384</v>
      </c>
      <c r="E35" s="548"/>
      <c r="F35" s="532">
        <f t="shared" ref="F35:F40" si="16">E35-D35</f>
        <v>-1384</v>
      </c>
      <c r="G35" s="551"/>
    </row>
    <row r="36" spans="1:8" s="106" customFormat="1" ht="27" customHeight="1" x14ac:dyDescent="0.2">
      <c r="A36" s="248" t="s">
        <v>1344</v>
      </c>
      <c r="B36" s="249" t="s">
        <v>1955</v>
      </c>
      <c r="C36" s="250" t="s">
        <v>1349</v>
      </c>
      <c r="D36" s="548">
        <v>8102</v>
      </c>
      <c r="E36" s="548"/>
      <c r="F36" s="533">
        <f t="shared" si="16"/>
        <v>-8102</v>
      </c>
      <c r="G36" s="124">
        <v>8078</v>
      </c>
    </row>
    <row r="37" spans="1:8" s="106" customFormat="1" ht="27.75" customHeight="1" x14ac:dyDescent="0.2">
      <c r="A37" s="248" t="s">
        <v>1360</v>
      </c>
      <c r="B37" s="249" t="s">
        <v>1468</v>
      </c>
      <c r="C37" s="444">
        <v>17784290</v>
      </c>
      <c r="D37" s="190">
        <v>25730</v>
      </c>
      <c r="E37" s="190"/>
      <c r="F37" s="533">
        <f t="shared" si="16"/>
        <v>-25730</v>
      </c>
    </row>
    <row r="38" spans="1:8" s="106" customFormat="1" ht="27" customHeight="1" x14ac:dyDescent="0.2">
      <c r="A38" s="248" t="s">
        <v>1361</v>
      </c>
      <c r="B38" s="249" t="s">
        <v>1954</v>
      </c>
      <c r="C38" s="444">
        <v>17786166</v>
      </c>
      <c r="D38" s="190">
        <v>1417</v>
      </c>
      <c r="E38" s="190"/>
      <c r="F38" s="533">
        <f t="shared" si="16"/>
        <v>-1417</v>
      </c>
    </row>
    <row r="39" spans="1:8" ht="27.75" customHeight="1" x14ac:dyDescent="0.2">
      <c r="A39" s="50" t="s">
        <v>67</v>
      </c>
      <c r="B39" s="249" t="s">
        <v>1439</v>
      </c>
      <c r="C39" s="244" t="s">
        <v>486</v>
      </c>
      <c r="D39" s="548">
        <v>19813</v>
      </c>
      <c r="E39" s="548"/>
      <c r="F39" s="532">
        <f t="shared" si="16"/>
        <v>-19813</v>
      </c>
      <c r="G39" s="107"/>
    </row>
    <row r="40" spans="1:8" ht="27.75" customHeight="1" x14ac:dyDescent="0.2">
      <c r="A40" s="50" t="s">
        <v>1347</v>
      </c>
      <c r="B40" s="249" t="s">
        <v>1469</v>
      </c>
      <c r="C40" s="244" t="s">
        <v>1348</v>
      </c>
      <c r="D40" s="548">
        <v>40490</v>
      </c>
      <c r="E40" s="548"/>
      <c r="F40" s="559">
        <f t="shared" si="16"/>
        <v>-40490</v>
      </c>
      <c r="G40" s="219"/>
      <c r="H40" s="296"/>
    </row>
    <row r="41" spans="1:8" ht="27.75" customHeight="1" thickBot="1" x14ac:dyDescent="0.25">
      <c r="A41" s="50" t="s">
        <v>1608</v>
      </c>
      <c r="B41" s="298" t="s">
        <v>1987</v>
      </c>
      <c r="C41" s="244" t="s">
        <v>1609</v>
      </c>
      <c r="D41" s="190">
        <v>605</v>
      </c>
      <c r="E41" s="190"/>
      <c r="F41" s="534">
        <f t="shared" ref="F41" si="17">E41-D41</f>
        <v>-605</v>
      </c>
      <c r="G41" s="219"/>
    </row>
    <row r="42" spans="1:8" ht="16.5" customHeight="1" x14ac:dyDescent="0.2">
      <c r="A42" s="473"/>
      <c r="B42" s="664" t="s">
        <v>1035</v>
      </c>
      <c r="C42" s="475" t="e">
        <f>SUM('Общ. счетчики'!#REF!)</f>
        <v>#REF!</v>
      </c>
      <c r="D42" s="474"/>
      <c r="E42" s="474" t="s">
        <v>1034</v>
      </c>
      <c r="F42" s="660">
        <f>SUM(F29:F34)</f>
        <v>-223356</v>
      </c>
      <c r="G42" s="481"/>
    </row>
    <row r="43" spans="1:8" ht="16.5" customHeight="1" x14ac:dyDescent="0.2">
      <c r="A43" s="476"/>
      <c r="B43" s="662" t="s">
        <v>1470</v>
      </c>
      <c r="C43" s="477">
        <f>'Общ. счетчики'!G18+'Общ. счетчики'!G19</f>
        <v>1365</v>
      </c>
      <c r="D43" s="476"/>
      <c r="E43" s="476"/>
      <c r="F43" s="478">
        <f>SUM(F35:F41)+SUM(F15:F17)+SUM(F24:F26)</f>
        <v>-176951</v>
      </c>
      <c r="G43" s="472"/>
    </row>
    <row r="44" spans="1:8" x14ac:dyDescent="0.2">
      <c r="A44" s="76"/>
      <c r="B44" s="303" t="s">
        <v>1040</v>
      </c>
      <c r="C44" s="482" t="e">
        <f>C18+C27+C42</f>
        <v>#REF!</v>
      </c>
      <c r="D44" s="76"/>
      <c r="E44" s="76"/>
      <c r="F44" s="483">
        <f>F18+F27+F42</f>
        <v>-457987</v>
      </c>
    </row>
    <row r="45" spans="1:8" x14ac:dyDescent="0.2">
      <c r="A45" s="35"/>
      <c r="B45" s="243" t="s">
        <v>1346</v>
      </c>
      <c r="C45" s="251"/>
      <c r="D45" s="35"/>
      <c r="E45" s="35"/>
      <c r="F45" s="484">
        <f>F44+F43+F28+F19</f>
        <v>-713010</v>
      </c>
    </row>
    <row r="46" spans="1:8" ht="33" customHeight="1" thickBot="1" x14ac:dyDescent="0.25">
      <c r="A46" s="302" t="s">
        <v>82</v>
      </c>
      <c r="B46" s="76"/>
      <c r="C46" s="76"/>
      <c r="D46" s="76"/>
      <c r="E46" s="76"/>
      <c r="F46" s="137"/>
    </row>
    <row r="47" spans="1:8" ht="12.75" customHeight="1" x14ac:dyDescent="0.2">
      <c r="A47" s="845" t="s">
        <v>480</v>
      </c>
      <c r="B47" s="845" t="s">
        <v>481</v>
      </c>
      <c r="C47" s="845" t="s">
        <v>1</v>
      </c>
      <c r="D47" s="845" t="s">
        <v>2</v>
      </c>
      <c r="E47" s="845"/>
      <c r="F47" s="866" t="s">
        <v>482</v>
      </c>
      <c r="G47" s="865" t="s">
        <v>1975</v>
      </c>
    </row>
    <row r="48" spans="1:8" x14ac:dyDescent="0.2">
      <c r="A48" s="845"/>
      <c r="B48" s="845"/>
      <c r="C48" s="845"/>
      <c r="D48" s="845"/>
      <c r="E48" s="845"/>
      <c r="F48" s="867"/>
      <c r="G48" s="865"/>
    </row>
    <row r="49" spans="1:10" ht="17.25" customHeight="1" thickBot="1" x14ac:dyDescent="0.25">
      <c r="A49" s="845"/>
      <c r="B49" s="845"/>
      <c r="C49" s="845"/>
      <c r="D49" s="252" t="s">
        <v>6</v>
      </c>
      <c r="E49" s="253" t="s">
        <v>7</v>
      </c>
      <c r="F49" s="868"/>
      <c r="G49" s="865"/>
    </row>
    <row r="50" spans="1:10" ht="36" customHeight="1" thickBot="1" x14ac:dyDescent="0.25">
      <c r="A50" s="246" t="s">
        <v>487</v>
      </c>
      <c r="B50" s="844" t="s">
        <v>488</v>
      </c>
      <c r="C50" s="844"/>
      <c r="D50" s="190"/>
      <c r="E50" s="190"/>
      <c r="F50" s="234" t="e">
        <f>'Общ. счетчики'!#REF!</f>
        <v>#REF!</v>
      </c>
      <c r="G50" s="213"/>
      <c r="H50" s="254"/>
    </row>
    <row r="51" spans="1:10" ht="24" customHeight="1" x14ac:dyDescent="0.2">
      <c r="A51" s="254" t="s">
        <v>943</v>
      </c>
      <c r="B51" s="857" t="s">
        <v>84</v>
      </c>
      <c r="C51" s="244" t="s">
        <v>1556</v>
      </c>
      <c r="D51" s="548">
        <v>51432</v>
      </c>
      <c r="E51" s="548"/>
      <c r="F51" s="235">
        <f>E51-D51</f>
        <v>-51432</v>
      </c>
      <c r="G51" s="703">
        <f>(F51*2/100)+F51</f>
        <v>-52460.639999999999</v>
      </c>
      <c r="H51" s="869"/>
    </row>
    <row r="52" spans="1:10" ht="24" customHeight="1" x14ac:dyDescent="0.2">
      <c r="A52" s="50" t="s">
        <v>85</v>
      </c>
      <c r="B52" s="857"/>
      <c r="C52" s="246" t="s">
        <v>1557</v>
      </c>
      <c r="D52" s="190">
        <v>75767</v>
      </c>
      <c r="E52" s="190"/>
      <c r="F52" s="288">
        <f>E52-D52</f>
        <v>-75767</v>
      </c>
      <c r="G52" s="703">
        <f>(F52*2/100)+F52</f>
        <v>-77282.34</v>
      </c>
      <c r="H52" s="870"/>
    </row>
    <row r="53" spans="1:10" ht="31.5" customHeight="1" x14ac:dyDescent="0.2">
      <c r="A53" s="254" t="s">
        <v>489</v>
      </c>
      <c r="B53" s="855" t="s">
        <v>984</v>
      </c>
      <c r="C53" s="847" t="s">
        <v>1944</v>
      </c>
      <c r="D53" s="539">
        <v>35870</v>
      </c>
      <c r="E53" s="849"/>
      <c r="F53" s="875">
        <f>E53-D53</f>
        <v>-35870</v>
      </c>
      <c r="G53" s="872">
        <f>F53</f>
        <v>-35870</v>
      </c>
      <c r="H53" s="874"/>
      <c r="I53" s="124"/>
    </row>
    <row r="54" spans="1:10" ht="31.5" customHeight="1" x14ac:dyDescent="0.2">
      <c r="A54" s="50" t="s">
        <v>87</v>
      </c>
      <c r="B54" s="856"/>
      <c r="C54" s="848"/>
      <c r="D54" s="717"/>
      <c r="E54" s="850"/>
      <c r="F54" s="876"/>
      <c r="G54" s="873"/>
      <c r="H54" s="874"/>
      <c r="I54" s="124"/>
    </row>
    <row r="55" spans="1:10" ht="25.5" customHeight="1" x14ac:dyDescent="0.2">
      <c r="A55" s="255" t="s">
        <v>490</v>
      </c>
      <c r="B55" s="243" t="s">
        <v>89</v>
      </c>
      <c r="C55" s="246" t="s">
        <v>1514</v>
      </c>
      <c r="D55" s="548">
        <v>9411</v>
      </c>
      <c r="E55" s="548"/>
      <c r="F55" s="235">
        <f t="shared" ref="F55" si="18">E55-D55</f>
        <v>-9411</v>
      </c>
      <c r="G55" s="214">
        <f>(F55*2/100)+F55</f>
        <v>-9599.2199999999993</v>
      </c>
      <c r="H55" s="509"/>
    </row>
    <row r="56" spans="1:10" ht="30.75" customHeight="1" x14ac:dyDescent="0.2">
      <c r="A56" s="480" t="s">
        <v>90</v>
      </c>
      <c r="B56" s="243" t="s">
        <v>1974</v>
      </c>
      <c r="C56" s="246" t="s">
        <v>1479</v>
      </c>
      <c r="D56" s="548">
        <v>22404</v>
      </c>
      <c r="E56" s="548"/>
      <c r="F56" s="236">
        <f t="shared" ref="F56" si="19">E56-D56</f>
        <v>-22404</v>
      </c>
      <c r="G56" s="215">
        <f>(F56*0.719/100)+F56</f>
        <v>-22565.084760000002</v>
      </c>
      <c r="H56" s="509"/>
      <c r="I56" s="124"/>
    </row>
    <row r="57" spans="1:10" ht="27" customHeight="1" x14ac:dyDescent="0.2">
      <c r="A57" s="480" t="s">
        <v>92</v>
      </c>
      <c r="B57" s="243" t="s">
        <v>1483</v>
      </c>
      <c r="C57" s="245" t="s">
        <v>1475</v>
      </c>
      <c r="D57" s="548">
        <v>4976</v>
      </c>
      <c r="E57" s="548"/>
      <c r="F57" s="236">
        <f t="shared" ref="F57" si="20">E57-D57</f>
        <v>-4976</v>
      </c>
      <c r="G57" s="215">
        <f>(F57*2/100)+F57</f>
        <v>-5075.5200000000004</v>
      </c>
      <c r="H57" s="493"/>
      <c r="I57" s="871"/>
    </row>
    <row r="58" spans="1:10" ht="26.25" customHeight="1" x14ac:dyDescent="0.2">
      <c r="A58" s="50" t="s">
        <v>94</v>
      </c>
      <c r="B58" s="51" t="s">
        <v>1978</v>
      </c>
      <c r="C58" s="245" t="s">
        <v>1489</v>
      </c>
      <c r="D58" s="548">
        <v>12108</v>
      </c>
      <c r="E58" s="548"/>
      <c r="F58" s="343">
        <f t="shared" ref="F58" si="21">E58-D58</f>
        <v>-12108</v>
      </c>
      <c r="G58" s="215">
        <f>(F58*0.851/100)+F58</f>
        <v>-12211.03908</v>
      </c>
      <c r="H58" s="705"/>
      <c r="I58" s="871"/>
    </row>
    <row r="59" spans="1:10" ht="27" customHeight="1" x14ac:dyDescent="0.2">
      <c r="A59" s="257" t="s">
        <v>491</v>
      </c>
      <c r="B59" s="301" t="s">
        <v>1499</v>
      </c>
      <c r="C59" s="246" t="s">
        <v>1490</v>
      </c>
      <c r="D59" s="548">
        <v>19528</v>
      </c>
      <c r="E59" s="548"/>
      <c r="F59" s="233">
        <f t="shared" ref="F59" si="22">E59-D59</f>
        <v>-19528</v>
      </c>
      <c r="G59" s="215">
        <f>(F59*2/100)+F59</f>
        <v>-19918.560000000001</v>
      </c>
      <c r="H59" s="509"/>
      <c r="I59" s="8"/>
    </row>
    <row r="60" spans="1:10" ht="24" customHeight="1" x14ac:dyDescent="0.2">
      <c r="A60" s="50" t="s">
        <v>97</v>
      </c>
      <c r="B60" s="243" t="s">
        <v>1506</v>
      </c>
      <c r="C60" s="327" t="s">
        <v>1507</v>
      </c>
      <c r="D60" s="548">
        <v>20464</v>
      </c>
      <c r="E60" s="548"/>
      <c r="F60" s="344">
        <f t="shared" ref="F60" si="23">E60-D60</f>
        <v>-20464</v>
      </c>
      <c r="G60" s="215">
        <f>(F60*2/100)+F60</f>
        <v>-20873.28</v>
      </c>
      <c r="H60" s="509"/>
      <c r="I60" s="8"/>
    </row>
    <row r="61" spans="1:10" ht="24" customHeight="1" x14ac:dyDescent="0.2">
      <c r="A61" s="50" t="s">
        <v>99</v>
      </c>
      <c r="B61" s="301" t="s">
        <v>1500</v>
      </c>
      <c r="C61" s="327" t="s">
        <v>1491</v>
      </c>
      <c r="D61" s="548">
        <v>24503</v>
      </c>
      <c r="E61" s="548"/>
      <c r="F61" s="344">
        <f t="shared" ref="F61:F62" si="24">E61-D61</f>
        <v>-24503</v>
      </c>
      <c r="G61" s="326">
        <f>(F61*2/100)+F61</f>
        <v>-24993.06</v>
      </c>
      <c r="H61" s="509"/>
      <c r="I61" s="493"/>
      <c r="J61" s="493"/>
    </row>
    <row r="62" spans="1:10" ht="24" customHeight="1" x14ac:dyDescent="0.2">
      <c r="A62" s="51" t="s">
        <v>101</v>
      </c>
      <c r="B62" s="301" t="s">
        <v>1501</v>
      </c>
      <c r="C62" s="327" t="s">
        <v>1492</v>
      </c>
      <c r="D62" s="548">
        <v>27133</v>
      </c>
      <c r="E62" s="548"/>
      <c r="F62" s="344">
        <f t="shared" si="24"/>
        <v>-27133</v>
      </c>
      <c r="G62" s="326">
        <f>(F62*2/100)+F62</f>
        <v>-27675.66</v>
      </c>
      <c r="H62" s="509"/>
      <c r="I62" s="493"/>
      <c r="J62" s="493"/>
    </row>
    <row r="63" spans="1:10" ht="24" customHeight="1" x14ac:dyDescent="0.2">
      <c r="A63" s="261" t="s">
        <v>1427</v>
      </c>
      <c r="B63" s="243" t="s">
        <v>1424</v>
      </c>
      <c r="C63" s="554" t="s">
        <v>1370</v>
      </c>
      <c r="D63" s="190">
        <v>52746</v>
      </c>
      <c r="E63" s="190"/>
      <c r="F63" s="287">
        <f>E63-D63</f>
        <v>-52746</v>
      </c>
      <c r="G63" s="326"/>
      <c r="H63" s="493"/>
    </row>
    <row r="64" spans="1:10" ht="24" customHeight="1" x14ac:dyDescent="0.2">
      <c r="A64" s="261" t="s">
        <v>1569</v>
      </c>
      <c r="B64" s="261" t="s">
        <v>1569</v>
      </c>
      <c r="C64" s="555" t="s">
        <v>1574</v>
      </c>
      <c r="D64" s="573">
        <v>40</v>
      </c>
      <c r="E64" s="573"/>
      <c r="F64" s="287">
        <f t="shared" ref="F64" si="25">E64-D64</f>
        <v>-40</v>
      </c>
      <c r="G64" s="326">
        <f>F64</f>
        <v>-40</v>
      </c>
      <c r="H64" s="8"/>
    </row>
    <row r="65" spans="1:9" ht="24" customHeight="1" x14ac:dyDescent="0.2">
      <c r="A65" s="261" t="s">
        <v>1570</v>
      </c>
      <c r="B65" s="261" t="s">
        <v>1972</v>
      </c>
      <c r="C65" s="555" t="s">
        <v>1973</v>
      </c>
      <c r="D65" s="702">
        <v>6301</v>
      </c>
      <c r="E65" s="702"/>
      <c r="F65" s="287">
        <f>E65-D65</f>
        <v>-6301</v>
      </c>
      <c r="G65" s="326">
        <f>F65</f>
        <v>-6301</v>
      </c>
      <c r="H65" s="509"/>
      <c r="I65" s="124"/>
    </row>
    <row r="66" spans="1:9" ht="24" customHeight="1" x14ac:dyDescent="0.2">
      <c r="A66" s="261" t="s">
        <v>1572</v>
      </c>
      <c r="B66" s="243" t="s">
        <v>1464</v>
      </c>
      <c r="C66" s="556" t="s">
        <v>1558</v>
      </c>
      <c r="D66" s="565">
        <v>31658</v>
      </c>
      <c r="E66" s="565"/>
      <c r="F66" s="287">
        <f>E66-D66</f>
        <v>-31658</v>
      </c>
      <c r="G66" s="326">
        <f>(F66*2/100)+F66</f>
        <v>-32291.16</v>
      </c>
      <c r="H66" s="509"/>
    </row>
    <row r="67" spans="1:9" ht="24" customHeight="1" x14ac:dyDescent="0.2">
      <c r="A67" s="261" t="s">
        <v>1571</v>
      </c>
      <c r="B67" s="243" t="s">
        <v>1979</v>
      </c>
      <c r="C67" s="556" t="s">
        <v>1559</v>
      </c>
      <c r="D67" s="573">
        <v>85741</v>
      </c>
      <c r="E67" s="573"/>
      <c r="F67" s="287">
        <f t="shared" ref="F67" si="26">E67-D67</f>
        <v>-85741</v>
      </c>
      <c r="G67" s="326">
        <f>(F67*5/100)+F67</f>
        <v>-90028.05</v>
      </c>
      <c r="H67" s="705"/>
    </row>
    <row r="68" spans="1:9" ht="24" customHeight="1" x14ac:dyDescent="0.2">
      <c r="A68" s="261" t="s">
        <v>1573</v>
      </c>
      <c r="B68" s="243" t="s">
        <v>1948</v>
      </c>
      <c r="C68" s="557" t="s">
        <v>1560</v>
      </c>
      <c r="D68" s="573">
        <v>12893</v>
      </c>
      <c r="E68" s="573"/>
      <c r="F68" s="287">
        <f t="shared" ref="F68" si="27">E68-D68</f>
        <v>-12893</v>
      </c>
      <c r="G68" s="326">
        <f>(F68*2.746/100)+F68</f>
        <v>-13247.04178</v>
      </c>
      <c r="H68" s="509"/>
    </row>
    <row r="69" spans="1:9" ht="24" customHeight="1" x14ac:dyDescent="0.2">
      <c r="A69" s="140" t="s">
        <v>1389</v>
      </c>
      <c r="B69" s="558" t="s">
        <v>1390</v>
      </c>
      <c r="C69" s="353"/>
      <c r="D69" s="575">
        <v>4400</v>
      </c>
      <c r="E69" s="575">
        <v>7100</v>
      </c>
      <c r="F69" s="287">
        <f t="shared" ref="F69" si="28">E69-D69</f>
        <v>2700</v>
      </c>
      <c r="G69" s="326">
        <f>F69</f>
        <v>2700</v>
      </c>
      <c r="H69" s="493"/>
      <c r="I69" s="124"/>
    </row>
    <row r="70" spans="1:9" ht="24" customHeight="1" x14ac:dyDescent="0.2">
      <c r="A70" s="50" t="s">
        <v>493</v>
      </c>
      <c r="B70" s="243" t="s">
        <v>103</v>
      </c>
      <c r="C70" s="328" t="s">
        <v>1028</v>
      </c>
      <c r="D70" s="853" t="s">
        <v>1338</v>
      </c>
      <c r="E70" s="854"/>
      <c r="F70" s="287"/>
      <c r="G70" s="216"/>
      <c r="H70" s="509"/>
    </row>
    <row r="71" spans="1:9" ht="27" customHeight="1" x14ac:dyDescent="0.2">
      <c r="A71" s="258" t="s">
        <v>952</v>
      </c>
      <c r="B71" s="243" t="s">
        <v>494</v>
      </c>
      <c r="C71" s="843" t="s">
        <v>1029</v>
      </c>
      <c r="D71" s="843"/>
      <c r="E71" s="843"/>
      <c r="F71" s="287">
        <v>891</v>
      </c>
      <c r="G71" s="217"/>
    </row>
    <row r="72" spans="1:9" ht="18" customHeight="1" x14ac:dyDescent="0.2">
      <c r="A72" s="259" t="s">
        <v>16</v>
      </c>
      <c r="B72" s="35"/>
      <c r="C72" s="35"/>
      <c r="D72" s="35"/>
      <c r="E72" s="35"/>
      <c r="F72" s="463">
        <f>SUM(F51:F70)-F63</f>
        <v>-437529</v>
      </c>
      <c r="G72" s="495">
        <f>SUM(G51:G70)</f>
        <v>-447731.65561999986</v>
      </c>
      <c r="I72" s="656"/>
    </row>
    <row r="73" spans="1:9" ht="21" customHeight="1" x14ac:dyDescent="0.2">
      <c r="A73" s="246"/>
      <c r="B73" s="35"/>
      <c r="C73" s="260"/>
      <c r="D73" s="35"/>
      <c r="E73" s="35"/>
      <c r="F73" s="237"/>
      <c r="G73" s="218"/>
    </row>
    <row r="74" spans="1:9" ht="58.5" customHeight="1" x14ac:dyDescent="0.2">
      <c r="A74" s="335" t="s">
        <v>71</v>
      </c>
      <c r="B74" s="336"/>
      <c r="C74" s="105"/>
      <c r="D74" s="105"/>
      <c r="E74" s="105"/>
      <c r="F74" s="105"/>
      <c r="G74" s="105"/>
      <c r="H74" s="105"/>
    </row>
    <row r="75" spans="1:9" ht="12.75" customHeight="1" x14ac:dyDescent="0.2">
      <c r="A75" s="845" t="s">
        <v>480</v>
      </c>
      <c r="B75" s="845" t="s">
        <v>481</v>
      </c>
      <c r="C75" s="845" t="s">
        <v>1</v>
      </c>
      <c r="D75" s="845" t="s">
        <v>2</v>
      </c>
      <c r="E75" s="845"/>
      <c r="F75" s="845" t="s">
        <v>482</v>
      </c>
      <c r="G75" s="846" t="s">
        <v>1018</v>
      </c>
      <c r="H75" s="842"/>
    </row>
    <row r="76" spans="1:9" x14ac:dyDescent="0.2">
      <c r="A76" s="845"/>
      <c r="B76" s="845"/>
      <c r="C76" s="845"/>
      <c r="D76" s="845"/>
      <c r="E76" s="845"/>
      <c r="F76" s="845"/>
      <c r="G76" s="846"/>
      <c r="H76" s="842"/>
    </row>
    <row r="77" spans="1:9" ht="23.25" customHeight="1" x14ac:dyDescent="0.2">
      <c r="A77" s="845"/>
      <c r="B77" s="845"/>
      <c r="C77" s="845"/>
      <c r="D77" s="252" t="s">
        <v>6</v>
      </c>
      <c r="E77" s="253" t="s">
        <v>7</v>
      </c>
      <c r="F77" s="845"/>
      <c r="G77" s="846"/>
      <c r="H77" s="842"/>
    </row>
    <row r="78" spans="1:9" ht="28.5" customHeight="1" x14ac:dyDescent="0.2">
      <c r="A78" s="50" t="s">
        <v>945</v>
      </c>
      <c r="B78" s="261" t="s">
        <v>956</v>
      </c>
      <c r="C78" s="244" t="s">
        <v>1372</v>
      </c>
      <c r="D78" s="548">
        <v>52607</v>
      </c>
      <c r="E78" s="548"/>
      <c r="F78" s="190">
        <f>E78-D78</f>
        <v>-52607</v>
      </c>
      <c r="G78" s="330">
        <f>F78*E82</f>
        <v>-53875.479360124853</v>
      </c>
      <c r="H78" s="492" t="s">
        <v>1519</v>
      </c>
    </row>
    <row r="79" spans="1:9" ht="24" customHeight="1" x14ac:dyDescent="0.2">
      <c r="A79" s="50" t="s">
        <v>944</v>
      </c>
      <c r="B79" s="261" t="s">
        <v>1030</v>
      </c>
      <c r="C79" s="244" t="s">
        <v>1493</v>
      </c>
      <c r="D79" s="548">
        <v>14514</v>
      </c>
      <c r="E79" s="548"/>
      <c r="F79" s="190">
        <f>E79-D79</f>
        <v>-14514</v>
      </c>
      <c r="G79" s="331">
        <f>F79*E82</f>
        <v>-14863.966913772922</v>
      </c>
      <c r="H79" s="508" t="s">
        <v>1520</v>
      </c>
    </row>
    <row r="80" spans="1:9" ht="28.5" customHeight="1" x14ac:dyDescent="0.2">
      <c r="A80" s="301" t="s">
        <v>946</v>
      </c>
      <c r="B80" s="261" t="s">
        <v>1638</v>
      </c>
      <c r="C80" s="244" t="s">
        <v>1488</v>
      </c>
      <c r="D80" s="575">
        <v>9769</v>
      </c>
      <c r="E80" s="575"/>
      <c r="F80" s="190">
        <f>E80-D80</f>
        <v>-9769</v>
      </c>
      <c r="G80" s="331">
        <f>F80*E82</f>
        <v>-10004.553726102224</v>
      </c>
      <c r="H80" s="508" t="s">
        <v>1520</v>
      </c>
    </row>
    <row r="81" spans="1:9" ht="15.75" customHeight="1" x14ac:dyDescent="0.2">
      <c r="A81" s="261" t="s">
        <v>961</v>
      </c>
      <c r="B81" s="261" t="s">
        <v>1343</v>
      </c>
      <c r="C81" s="244">
        <v>17028035</v>
      </c>
      <c r="D81" s="190">
        <v>1854</v>
      </c>
      <c r="E81" s="190"/>
      <c r="F81" s="190">
        <f>E81-D81</f>
        <v>-1854</v>
      </c>
      <c r="G81" s="332"/>
      <c r="H81" s="13"/>
    </row>
    <row r="82" spans="1:9" ht="43.5" customHeight="1" x14ac:dyDescent="0.2">
      <c r="A82" s="844" t="s">
        <v>964</v>
      </c>
      <c r="B82" s="844"/>
      <c r="C82" s="844"/>
      <c r="D82" s="844"/>
      <c r="E82" s="262">
        <f>SUM(F78:F81)/SUM(F78:F80)</f>
        <v>1.0241123683183768</v>
      </c>
      <c r="F82" s="35"/>
      <c r="G82" s="334"/>
      <c r="H82" s="13"/>
    </row>
    <row r="83" spans="1:9" ht="24" customHeight="1" x14ac:dyDescent="0.2">
      <c r="A83" s="851" t="s">
        <v>947</v>
      </c>
      <c r="B83" s="704" t="s">
        <v>1977</v>
      </c>
      <c r="C83" s="244" t="s">
        <v>1543</v>
      </c>
      <c r="D83" s="190">
        <v>42175</v>
      </c>
      <c r="E83" s="190"/>
      <c r="F83" s="190">
        <f>E83-D83</f>
        <v>-42175</v>
      </c>
      <c r="G83" s="333"/>
      <c r="H83" s="113"/>
    </row>
    <row r="84" spans="1:9" ht="24" customHeight="1" x14ac:dyDescent="0.2">
      <c r="A84" s="852"/>
      <c r="B84" s="479" t="s">
        <v>1478</v>
      </c>
      <c r="C84" s="244" t="s">
        <v>1494</v>
      </c>
      <c r="D84" s="190">
        <v>160309</v>
      </c>
      <c r="E84" s="190"/>
      <c r="F84" s="190">
        <f t="shared" ref="F84:F87" si="29">E84-D84</f>
        <v>-160309</v>
      </c>
      <c r="G84" s="333"/>
      <c r="H84" s="560"/>
    </row>
    <row r="85" spans="1:9" ht="42.75" customHeight="1" x14ac:dyDescent="0.2">
      <c r="A85" s="50" t="s">
        <v>948</v>
      </c>
      <c r="B85" s="50" t="s">
        <v>1552</v>
      </c>
      <c r="C85" s="244" t="s">
        <v>1553</v>
      </c>
      <c r="D85" s="548">
        <v>45923</v>
      </c>
      <c r="E85" s="548"/>
      <c r="F85" s="190">
        <f t="shared" ref="F85" si="30">E85-D85</f>
        <v>-45923</v>
      </c>
      <c r="G85" s="333"/>
      <c r="H85" s="509" t="s">
        <v>1520</v>
      </c>
      <c r="I85" s="493"/>
    </row>
    <row r="86" spans="1:9" ht="33" customHeight="1" x14ac:dyDescent="0.2">
      <c r="A86" s="301" t="s">
        <v>949</v>
      </c>
      <c r="B86" s="301" t="s">
        <v>1482</v>
      </c>
      <c r="C86" s="244" t="s">
        <v>1486</v>
      </c>
      <c r="D86" s="575">
        <v>32613</v>
      </c>
      <c r="E86" s="575"/>
      <c r="F86" s="329">
        <f t="shared" si="29"/>
        <v>-32613</v>
      </c>
      <c r="G86" s="333"/>
      <c r="H86" s="509" t="s">
        <v>1520</v>
      </c>
      <c r="I86" s="124"/>
    </row>
    <row r="87" spans="1:9" ht="31.5" customHeight="1" x14ac:dyDescent="0.2">
      <c r="A87" s="50" t="s">
        <v>1020</v>
      </c>
      <c r="B87" s="50" t="s">
        <v>1504</v>
      </c>
      <c r="C87" s="244" t="s">
        <v>1505</v>
      </c>
      <c r="D87" s="575">
        <v>15299</v>
      </c>
      <c r="E87" s="575"/>
      <c r="F87" s="329">
        <f t="shared" si="29"/>
        <v>-15299</v>
      </c>
      <c r="G87" s="576"/>
      <c r="H87" s="509" t="s">
        <v>1520</v>
      </c>
      <c r="I87" s="124"/>
    </row>
    <row r="88" spans="1:9" ht="24" customHeight="1" x14ac:dyDescent="0.2">
      <c r="A88" s="50" t="s">
        <v>1610</v>
      </c>
      <c r="B88" s="298" t="s">
        <v>1988</v>
      </c>
      <c r="C88" s="244" t="s">
        <v>1611</v>
      </c>
      <c r="D88" s="190">
        <v>857</v>
      </c>
      <c r="E88" s="190"/>
      <c r="F88" s="530">
        <f t="shared" ref="F88" si="31">E88-D88</f>
        <v>-857</v>
      </c>
      <c r="G88" s="333"/>
      <c r="H88" s="509"/>
    </row>
    <row r="89" spans="1:9" ht="27.75" customHeight="1" x14ac:dyDescent="0.2">
      <c r="A89" s="50"/>
      <c r="B89" s="663" t="s">
        <v>1035</v>
      </c>
      <c r="C89" s="461" t="e">
        <f>SUM('Общ. счетчики'!#REF!)</f>
        <v>#REF!</v>
      </c>
      <c r="D89" s="190"/>
      <c r="E89" s="190"/>
      <c r="F89" s="462">
        <f>SUM(F78:F87)</f>
        <v>-375063</v>
      </c>
      <c r="G89" s="531" t="e">
        <f>C89-F89</f>
        <v>#REF!</v>
      </c>
      <c r="H89" s="8"/>
    </row>
    <row r="90" spans="1:9" ht="21.75" customHeight="1" x14ac:dyDescent="0.2">
      <c r="A90" s="476"/>
      <c r="B90" s="662" t="s">
        <v>1470</v>
      </c>
      <c r="C90" s="299">
        <f>'Общ. счетчики'!G36</f>
        <v>1485</v>
      </c>
      <c r="D90" s="476"/>
      <c r="E90" s="476"/>
      <c r="F90" s="478">
        <f>F88</f>
        <v>-857</v>
      </c>
      <c r="G90" s="549"/>
    </row>
    <row r="91" spans="1:9" ht="18" customHeight="1" x14ac:dyDescent="0.2">
      <c r="A91" s="263" t="s">
        <v>1036</v>
      </c>
      <c r="B91" s="256"/>
      <c r="C91" s="190"/>
      <c r="D91" s="190"/>
      <c r="E91" s="190"/>
      <c r="F91" s="190"/>
      <c r="G91" s="31"/>
    </row>
    <row r="92" spans="1:9" ht="38.25" customHeight="1" x14ac:dyDescent="0.2">
      <c r="A92" s="50" t="s">
        <v>1628</v>
      </c>
      <c r="B92" s="545" t="s">
        <v>1629</v>
      </c>
      <c r="C92" s="244">
        <v>11323464</v>
      </c>
      <c r="D92" s="190">
        <v>26753</v>
      </c>
      <c r="E92" s="190"/>
      <c r="F92" s="548">
        <f>E92-D92</f>
        <v>-26753</v>
      </c>
      <c r="G92" s="31"/>
    </row>
    <row r="94" spans="1:9" ht="21" customHeight="1" x14ac:dyDescent="0.2">
      <c r="A94" s="50" t="s">
        <v>1936</v>
      </c>
      <c r="B94" s="709" t="s">
        <v>1937</v>
      </c>
      <c r="C94" s="244" t="s">
        <v>1373</v>
      </c>
      <c r="D94" s="548">
        <v>73995</v>
      </c>
      <c r="E94" s="548"/>
      <c r="F94" s="539">
        <f>E94-D94</f>
        <v>-73995</v>
      </c>
    </row>
    <row r="95" spans="1:9" ht="21" customHeight="1" x14ac:dyDescent="0.2">
      <c r="A95" s="50" t="s">
        <v>1936</v>
      </c>
      <c r="B95" s="708" t="s">
        <v>1938</v>
      </c>
      <c r="C95" s="244" t="s">
        <v>1941</v>
      </c>
      <c r="D95" s="548">
        <v>13769</v>
      </c>
      <c r="E95" s="548"/>
      <c r="F95" s="539">
        <f>E95-D95</f>
        <v>-13769</v>
      </c>
    </row>
    <row r="96" spans="1:9" x14ac:dyDescent="0.2">
      <c r="E96" t="s">
        <v>1374</v>
      </c>
      <c r="F96" s="461">
        <f>SUM(F94:F95)</f>
        <v>-87764</v>
      </c>
    </row>
    <row r="97" spans="1:6" x14ac:dyDescent="0.2">
      <c r="F97" s="108"/>
    </row>
    <row r="98" spans="1:6" x14ac:dyDescent="0.2">
      <c r="D98" s="126" t="s">
        <v>1380</v>
      </c>
      <c r="E98" s="126"/>
      <c r="F98" s="126" t="s">
        <v>1381</v>
      </c>
    </row>
    <row r="99" spans="1:6" x14ac:dyDescent="0.2">
      <c r="A99" t="s">
        <v>1375</v>
      </c>
      <c r="C99" t="s">
        <v>1376</v>
      </c>
      <c r="D99" s="337">
        <v>17349.900000000001</v>
      </c>
      <c r="F99" s="338">
        <f>F96/D103*D99</f>
        <v>-34344.861873667833</v>
      </c>
    </row>
    <row r="100" spans="1:6" x14ac:dyDescent="0.2">
      <c r="C100" t="s">
        <v>1377</v>
      </c>
      <c r="D100">
        <v>16472.900000000001</v>
      </c>
      <c r="F100" s="338">
        <f>F96/D103*D100</f>
        <v>-32608.803229917339</v>
      </c>
    </row>
    <row r="101" spans="1:6" x14ac:dyDescent="0.2">
      <c r="C101" t="s">
        <v>1378</v>
      </c>
      <c r="D101">
        <v>6275</v>
      </c>
      <c r="F101" s="338">
        <f>F96/D103*D101</f>
        <v>-12421.628266287738</v>
      </c>
    </row>
    <row r="102" spans="1:6" x14ac:dyDescent="0.2">
      <c r="C102" t="s">
        <v>1379</v>
      </c>
      <c r="D102">
        <v>4237.7</v>
      </c>
      <c r="F102" s="338">
        <f>F96/D103*D102</f>
        <v>-8388.7066301270988</v>
      </c>
    </row>
    <row r="103" spans="1:6" x14ac:dyDescent="0.2">
      <c r="D103" s="340">
        <f>SUM(D99:D102)</f>
        <v>44335.5</v>
      </c>
      <c r="E103" s="13"/>
      <c r="F103" s="339">
        <f>SUM(F99:F102)</f>
        <v>-87764</v>
      </c>
    </row>
  </sheetData>
  <customSheetViews>
    <customSheetView guid="{59BB3A05-2517-4212-B4B0-766CE27362F6}" showPageBreaks="1" fitToPage="1" printArea="1" state="hidden" view="pageBreakPreview">
      <selection activeCell="I13" sqref="I13"/>
      <pageMargins left="0.39370078740157483" right="0.19685039370078741" top="0.39370078740157483" bottom="0.39370078740157483" header="0" footer="0"/>
      <pageSetup paperSize="9" scale="90" fitToHeight="0" orientation="portrait" r:id="rId1"/>
      <headerFooter alignWithMargins="0"/>
    </customSheetView>
    <customSheetView guid="{11E80AD0-6AA7-470D-8311-11AF96F196E5}" showPageBreaks="1" fitToPage="1" printArea="1" state="hidden" view="pageBreakPreview">
      <selection activeCell="G89" sqref="G89"/>
      <pageMargins left="0.39370078740157483" right="0.19685039370078741" top="0.39370078740157483" bottom="0.39370078740157483" header="0" footer="0"/>
      <pageSetup paperSize="9" scale="90" fitToHeight="0" orientation="portrait" r:id="rId2"/>
      <headerFooter alignWithMargins="0"/>
    </customSheetView>
    <customSheetView guid="{1298D0A2-0CF6-434E-A6CD-B210E2963ADD}" showPageBreaks="1" fitToPage="1" printArea="1" view="pageBreakPreview" topLeftCell="A52">
      <selection activeCell="F65" sqref="F65"/>
      <pageMargins left="0.39370078740157483" right="0.19685039370078741" top="0.39370078740157483" bottom="0.39370078740157483" header="0" footer="0"/>
      <pageSetup paperSize="9" scale="90" fitToHeight="0" orientation="portrait" r:id="rId3"/>
      <headerFooter alignWithMargins="0"/>
    </customSheetView>
  </customSheetViews>
  <mergeCells count="35">
    <mergeCell ref="G47:G49"/>
    <mergeCell ref="F47:F49"/>
    <mergeCell ref="H51:H52"/>
    <mergeCell ref="I57:I58"/>
    <mergeCell ref="G53:G54"/>
    <mergeCell ref="H53:H54"/>
    <mergeCell ref="F53:F54"/>
    <mergeCell ref="C1:D1"/>
    <mergeCell ref="B50:C50"/>
    <mergeCell ref="E1:F1"/>
    <mergeCell ref="F3:F5"/>
    <mergeCell ref="C47:C49"/>
    <mergeCell ref="B47:B49"/>
    <mergeCell ref="A2:B2"/>
    <mergeCell ref="B51:B52"/>
    <mergeCell ref="A3:A5"/>
    <mergeCell ref="D3:E4"/>
    <mergeCell ref="D47:E48"/>
    <mergeCell ref="B3:B5"/>
    <mergeCell ref="A47:A49"/>
    <mergeCell ref="C3:C5"/>
    <mergeCell ref="C53:C54"/>
    <mergeCell ref="E53:E54"/>
    <mergeCell ref="A83:A84"/>
    <mergeCell ref="D70:E70"/>
    <mergeCell ref="B53:B54"/>
    <mergeCell ref="H75:H77"/>
    <mergeCell ref="C71:E71"/>
    <mergeCell ref="A82:D82"/>
    <mergeCell ref="A75:A77"/>
    <mergeCell ref="B75:B77"/>
    <mergeCell ref="C75:C77"/>
    <mergeCell ref="D75:E76"/>
    <mergeCell ref="F75:F77"/>
    <mergeCell ref="G75:G77"/>
  </mergeCells>
  <phoneticPr fontId="11" type="noConversion"/>
  <pageMargins left="0.39370078740157483" right="0.19685039370078741" top="0.39370078740157483" bottom="0.39370078740157483" header="0" footer="0"/>
  <pageSetup paperSize="9" scale="90" fitToHeight="0" orientation="portrait" r:id="rId4"/>
  <headerFooter alignWithMargins="0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0"/>
  <sheetViews>
    <sheetView workbookViewId="0">
      <selection activeCell="H6" sqref="H6"/>
    </sheetView>
  </sheetViews>
  <sheetFormatPr defaultColWidth="9.140625" defaultRowHeight="12.75" x14ac:dyDescent="0.2"/>
  <cols>
    <col min="1" max="1" width="6.28515625" style="375" customWidth="1"/>
    <col min="2" max="2" width="32.85546875" style="375" customWidth="1"/>
    <col min="3" max="3" width="16.85546875" style="375" customWidth="1"/>
    <col min="4" max="4" width="14.5703125" style="390" customWidth="1"/>
    <col min="5" max="5" width="16.42578125" style="375" customWidth="1"/>
    <col min="6" max="6" width="9.7109375" style="375" customWidth="1"/>
    <col min="7" max="7" width="16" style="376" customWidth="1"/>
    <col min="8" max="16384" width="9.140625" style="375"/>
  </cols>
  <sheetData>
    <row r="1" spans="1:7" ht="21" x14ac:dyDescent="0.2">
      <c r="A1" s="880"/>
      <c r="B1" s="880"/>
      <c r="C1" s="880"/>
      <c r="D1" s="880"/>
      <c r="E1" s="880"/>
    </row>
    <row r="2" spans="1:7" ht="42" customHeight="1" x14ac:dyDescent="0.2">
      <c r="A2" s="881" t="s">
        <v>1420</v>
      </c>
      <c r="B2" s="881"/>
      <c r="C2" s="881"/>
      <c r="D2" s="881"/>
      <c r="E2" s="881"/>
    </row>
    <row r="3" spans="1:7" ht="20.25" customHeight="1" x14ac:dyDescent="0.2">
      <c r="A3" s="882" t="s">
        <v>1416</v>
      </c>
      <c r="B3" s="882"/>
      <c r="C3" s="882"/>
      <c r="D3" s="882"/>
      <c r="E3" s="882"/>
      <c r="F3" s="377"/>
    </row>
    <row r="4" spans="1:7" ht="31.5" customHeight="1" x14ac:dyDescent="0.35">
      <c r="A4" s="879" t="s">
        <v>1418</v>
      </c>
      <c r="B4" s="879"/>
      <c r="C4" s="378"/>
      <c r="D4" s="379"/>
      <c r="E4" s="450">
        <v>24861.41</v>
      </c>
    </row>
    <row r="5" spans="1:7" ht="15" x14ac:dyDescent="0.25">
      <c r="A5" s="373">
        <v>44335.5</v>
      </c>
      <c r="B5" s="380" t="s">
        <v>1327</v>
      </c>
      <c r="C5" s="381"/>
      <c r="D5" s="381"/>
      <c r="E5" s="382"/>
    </row>
    <row r="6" spans="1:7" ht="15" x14ac:dyDescent="0.25">
      <c r="A6" s="380" t="s">
        <v>1417</v>
      </c>
      <c r="B6" s="291">
        <f>E4*5.05/A5</f>
        <v>2.8318192080838154</v>
      </c>
      <c r="C6" s="381" t="s">
        <v>1021</v>
      </c>
      <c r="D6" s="381"/>
      <c r="E6" s="382"/>
    </row>
    <row r="7" spans="1:7" ht="15" x14ac:dyDescent="0.25">
      <c r="A7" s="383" t="s">
        <v>1011</v>
      </c>
      <c r="B7" s="383"/>
      <c r="C7" s="383"/>
      <c r="D7" s="383"/>
      <c r="E7" s="382"/>
    </row>
    <row r="8" spans="1:7" ht="15" x14ac:dyDescent="0.25">
      <c r="A8" s="380" t="s">
        <v>1421</v>
      </c>
      <c r="B8" s="380"/>
      <c r="C8" s="380"/>
      <c r="D8" s="380"/>
      <c r="E8" s="382"/>
    </row>
    <row r="9" spans="1:7" ht="15" x14ac:dyDescent="0.25">
      <c r="A9" s="878" t="s">
        <v>1016</v>
      </c>
      <c r="B9" s="878"/>
      <c r="C9" s="878"/>
      <c r="D9" s="878"/>
      <c r="E9" s="384"/>
    </row>
    <row r="10" spans="1:7" ht="15" x14ac:dyDescent="0.25">
      <c r="A10" s="380" t="s">
        <v>1012</v>
      </c>
      <c r="B10" s="380"/>
      <c r="C10" s="380"/>
      <c r="D10" s="380"/>
      <c r="E10" s="384"/>
    </row>
    <row r="11" spans="1:7" ht="15" x14ac:dyDescent="0.25">
      <c r="A11" s="878" t="s">
        <v>1017</v>
      </c>
      <c r="B11" s="878"/>
      <c r="C11" s="878"/>
      <c r="D11" s="878"/>
      <c r="E11" s="385"/>
    </row>
    <row r="12" spans="1:7" ht="15" x14ac:dyDescent="0.25">
      <c r="A12" s="386"/>
      <c r="B12" s="386"/>
      <c r="C12" s="386"/>
      <c r="D12" s="386"/>
      <c r="E12" s="387"/>
      <c r="F12" s="388"/>
    </row>
    <row r="13" spans="1:7" ht="15" x14ac:dyDescent="0.25">
      <c r="B13" s="389"/>
      <c r="C13" s="293" t="s">
        <v>1985</v>
      </c>
    </row>
    <row r="14" spans="1:7" s="395" customFormat="1" ht="25.5" x14ac:dyDescent="0.2">
      <c r="A14" s="391" t="s">
        <v>23</v>
      </c>
      <c r="B14" s="392" t="s">
        <v>24</v>
      </c>
      <c r="C14" s="392"/>
      <c r="D14" s="391" t="s">
        <v>26</v>
      </c>
      <c r="E14" s="393" t="s">
        <v>25</v>
      </c>
      <c r="F14" s="391" t="s">
        <v>1013</v>
      </c>
      <c r="G14" s="394" t="s">
        <v>1014</v>
      </c>
    </row>
    <row r="15" spans="1:7" ht="15" x14ac:dyDescent="0.25">
      <c r="A15" s="396"/>
      <c r="B15" s="397" t="s">
        <v>27</v>
      </c>
      <c r="C15" s="397"/>
      <c r="D15" s="398"/>
      <c r="E15" s="399"/>
      <c r="F15" s="398"/>
      <c r="G15" s="398"/>
    </row>
    <row r="16" spans="1:7" ht="15" x14ac:dyDescent="0.25">
      <c r="A16" s="396"/>
      <c r="B16" s="400" t="s">
        <v>71</v>
      </c>
      <c r="C16" s="396"/>
      <c r="D16" s="401"/>
      <c r="E16" s="399"/>
      <c r="F16" s="398"/>
      <c r="G16" s="398"/>
    </row>
    <row r="17" spans="1:7" ht="15" x14ac:dyDescent="0.25">
      <c r="A17" s="396">
        <v>1</v>
      </c>
      <c r="B17" s="402" t="s">
        <v>72</v>
      </c>
      <c r="C17" s="403" t="s">
        <v>73</v>
      </c>
      <c r="D17" s="398">
        <v>147.4</v>
      </c>
      <c r="E17" s="399">
        <f>$E$4*'МОП корп. 1'!D17/$A$5</f>
        <v>82.655475499317703</v>
      </c>
      <c r="F17" s="398">
        <v>5.05</v>
      </c>
      <c r="G17" s="398">
        <f>E17*F17</f>
        <v>417.41015127155441</v>
      </c>
    </row>
    <row r="18" spans="1:7" ht="15" x14ac:dyDescent="0.25">
      <c r="A18" s="396">
        <f>A17+1</f>
        <v>2</v>
      </c>
      <c r="B18" s="402" t="s">
        <v>74</v>
      </c>
      <c r="C18" s="403" t="s">
        <v>75</v>
      </c>
      <c r="D18" s="398">
        <v>92.7</v>
      </c>
      <c r="E18" s="399">
        <f>$E$4*D18/$A$5</f>
        <v>51.982107047399936</v>
      </c>
      <c r="F18" s="398">
        <v>5.05</v>
      </c>
      <c r="G18" s="398">
        <f t="shared" ref="G18:G24" si="0">E18*F18</f>
        <v>262.50964058936967</v>
      </c>
    </row>
    <row r="19" spans="1:7" ht="15" x14ac:dyDescent="0.25">
      <c r="A19" s="396">
        <f>A18+1</f>
        <v>3</v>
      </c>
      <c r="B19" s="402" t="s">
        <v>76</v>
      </c>
      <c r="C19" s="403" t="s">
        <v>77</v>
      </c>
      <c r="D19" s="398">
        <v>144.19999999999999</v>
      </c>
      <c r="E19" s="399">
        <f>$E$4*D19/$A$5</f>
        <v>80.861055407066559</v>
      </c>
      <c r="F19" s="398">
        <v>5.05</v>
      </c>
      <c r="G19" s="398">
        <f t="shared" si="0"/>
        <v>408.34832980568609</v>
      </c>
    </row>
    <row r="20" spans="1:7" ht="15" customHeight="1" x14ac:dyDescent="0.25">
      <c r="A20" s="396">
        <f t="shared" ref="A20:A27" si="1">A19+1</f>
        <v>4</v>
      </c>
      <c r="B20" s="404" t="s">
        <v>947</v>
      </c>
      <c r="C20" s="403" t="s">
        <v>1386</v>
      </c>
      <c r="D20" s="405">
        <v>315.5</v>
      </c>
      <c r="E20" s="399">
        <f>$E$4*D20/$A$5</f>
        <v>176.9186059703849</v>
      </c>
      <c r="F20" s="398">
        <v>5.05</v>
      </c>
      <c r="G20" s="398">
        <f t="shared" si="0"/>
        <v>893.43896015044368</v>
      </c>
    </row>
    <row r="21" spans="1:7" ht="15" x14ac:dyDescent="0.25">
      <c r="A21" s="396">
        <f t="shared" si="1"/>
        <v>5</v>
      </c>
      <c r="B21" s="402" t="s">
        <v>78</v>
      </c>
      <c r="C21" s="403" t="s">
        <v>79</v>
      </c>
      <c r="D21" s="398">
        <v>186.6</v>
      </c>
      <c r="E21" s="399">
        <f t="shared" ref="E21:E23" si="2">$E$4*D21/$A$5</f>
        <v>104.63712162939404</v>
      </c>
      <c r="F21" s="398">
        <v>5.05</v>
      </c>
      <c r="G21" s="398">
        <f>E21*F21</f>
        <v>528.41746422843994</v>
      </c>
    </row>
    <row r="22" spans="1:7" ht="15" x14ac:dyDescent="0.25">
      <c r="A22" s="396">
        <f t="shared" si="1"/>
        <v>6</v>
      </c>
      <c r="B22" s="402" t="s">
        <v>80</v>
      </c>
      <c r="C22" s="403" t="s">
        <v>81</v>
      </c>
      <c r="D22" s="398">
        <v>207.3</v>
      </c>
      <c r="E22" s="399">
        <f t="shared" si="2"/>
        <v>116.24477660114357</v>
      </c>
      <c r="F22" s="398">
        <v>5.05</v>
      </c>
      <c r="G22" s="398">
        <f t="shared" si="0"/>
        <v>587.03612183577502</v>
      </c>
    </row>
    <row r="23" spans="1:7" ht="24" customHeight="1" x14ac:dyDescent="0.25">
      <c r="A23" s="396">
        <f t="shared" si="1"/>
        <v>7</v>
      </c>
      <c r="B23" s="406" t="s">
        <v>1324</v>
      </c>
      <c r="C23" s="403" t="s">
        <v>79</v>
      </c>
      <c r="D23" s="398">
        <f>96.1+62.8</f>
        <v>158.89999999999998</v>
      </c>
      <c r="E23" s="399">
        <f t="shared" si="2"/>
        <v>89.104172705845187</v>
      </c>
      <c r="F23" s="398">
        <v>5.05</v>
      </c>
      <c r="G23" s="398">
        <f t="shared" si="0"/>
        <v>449.9760721645182</v>
      </c>
    </row>
    <row r="24" spans="1:7" ht="17.25" customHeight="1" x14ac:dyDescent="0.25">
      <c r="A24" s="396">
        <v>8</v>
      </c>
      <c r="B24" s="404" t="s">
        <v>1325</v>
      </c>
      <c r="C24" s="407" t="s">
        <v>105</v>
      </c>
      <c r="D24" s="398">
        <v>143.19999999999999</v>
      </c>
      <c r="E24" s="399">
        <f>$E$4*D24/$A$5</f>
        <v>80.30029912823808</v>
      </c>
      <c r="F24" s="398">
        <v>5.05</v>
      </c>
      <c r="G24" s="398">
        <f t="shared" si="0"/>
        <v>405.51651059760229</v>
      </c>
    </row>
    <row r="25" spans="1:7" ht="15" x14ac:dyDescent="0.25">
      <c r="A25" s="396"/>
      <c r="B25" s="408" t="s">
        <v>71</v>
      </c>
      <c r="C25" s="409"/>
      <c r="D25" s="410">
        <f>SUM(D17:D24)</f>
        <v>1395.8</v>
      </c>
      <c r="E25" s="410">
        <f>SUM(E17:E24)</f>
        <v>782.70361398878993</v>
      </c>
      <c r="F25" s="398">
        <v>5.05</v>
      </c>
      <c r="G25" s="411">
        <f>SUM(G17:G24)</f>
        <v>3952.6532506433887</v>
      </c>
    </row>
    <row r="26" spans="1:7" ht="15" x14ac:dyDescent="0.25">
      <c r="A26" s="396">
        <f>A23+1</f>
        <v>8</v>
      </c>
      <c r="B26" s="408" t="str">
        <f>'[1]Под 6'!A6</f>
        <v>Л/ 01</v>
      </c>
      <c r="C26" s="412" t="s">
        <v>292</v>
      </c>
      <c r="D26" s="410">
        <v>83.8</v>
      </c>
      <c r="E26" s="399">
        <f>$E$4*D26/$A$5</f>
        <v>46.99137616582648</v>
      </c>
      <c r="F26" s="398">
        <v>5.05</v>
      </c>
      <c r="G26" s="411">
        <f>E26*F26</f>
        <v>237.30644963742373</v>
      </c>
    </row>
    <row r="27" spans="1:7" ht="15" x14ac:dyDescent="0.25">
      <c r="A27" s="396">
        <f t="shared" si="1"/>
        <v>9</v>
      </c>
      <c r="B27" s="408" t="str">
        <f>'[1]Под 6'!A7</f>
        <v>2</v>
      </c>
      <c r="C27" s="413" t="s">
        <v>293</v>
      </c>
      <c r="D27" s="410">
        <v>45.4</v>
      </c>
      <c r="E27" s="399">
        <f t="shared" ref="E27:E57" si="3">$E$4*D27/$A$5</f>
        <v>25.458335058812914</v>
      </c>
      <c r="F27" s="398">
        <v>5.05</v>
      </c>
      <c r="G27" s="411">
        <f t="shared" ref="G27:G90" si="4">E27*F27</f>
        <v>128.56459204700522</v>
      </c>
    </row>
    <row r="28" spans="1:7" ht="15" x14ac:dyDescent="0.25">
      <c r="A28" s="396">
        <f>A27+1</f>
        <v>10</v>
      </c>
      <c r="B28" s="408" t="str">
        <f>'[1]Под 6'!A8</f>
        <v>3</v>
      </c>
      <c r="C28" s="413" t="s">
        <v>293</v>
      </c>
      <c r="D28" s="410">
        <v>45.4</v>
      </c>
      <c r="E28" s="399">
        <f t="shared" si="3"/>
        <v>25.458335058812914</v>
      </c>
      <c r="F28" s="398">
        <v>5.05</v>
      </c>
      <c r="G28" s="411">
        <f t="shared" si="4"/>
        <v>128.56459204700522</v>
      </c>
    </row>
    <row r="29" spans="1:7" ht="15" x14ac:dyDescent="0.25">
      <c r="A29" s="396">
        <f>A28+1</f>
        <v>11</v>
      </c>
      <c r="B29" s="408" t="str">
        <f>'[1]Под 6'!A9</f>
        <v>4</v>
      </c>
      <c r="C29" s="414" t="s">
        <v>294</v>
      </c>
      <c r="D29" s="410">
        <v>108.3</v>
      </c>
      <c r="E29" s="399">
        <f t="shared" si="3"/>
        <v>60.729904997124194</v>
      </c>
      <c r="F29" s="398">
        <v>5.05</v>
      </c>
      <c r="G29" s="411">
        <f t="shared" si="4"/>
        <v>306.68602023547714</v>
      </c>
    </row>
    <row r="30" spans="1:7" ht="15" x14ac:dyDescent="0.25">
      <c r="A30" s="396">
        <f t="shared" ref="A30:A93" si="5">A29+1</f>
        <v>12</v>
      </c>
      <c r="B30" s="408" t="str">
        <f>'[1]Под 6'!A10</f>
        <v>5</v>
      </c>
      <c r="C30" s="414" t="s">
        <v>295</v>
      </c>
      <c r="D30" s="410">
        <v>58.4</v>
      </c>
      <c r="E30" s="399">
        <f t="shared" si="3"/>
        <v>32.748166683583136</v>
      </c>
      <c r="F30" s="398">
        <v>5.05</v>
      </c>
      <c r="G30" s="411">
        <f t="shared" si="4"/>
        <v>165.37824175209482</v>
      </c>
    </row>
    <row r="31" spans="1:7" ht="15" x14ac:dyDescent="0.25">
      <c r="A31" s="396">
        <f t="shared" si="5"/>
        <v>13</v>
      </c>
      <c r="B31" s="408" t="str">
        <f>'[1]Под 6'!A11</f>
        <v>П/ 06</v>
      </c>
      <c r="C31" s="415" t="s">
        <v>296</v>
      </c>
      <c r="D31" s="410">
        <v>100.7</v>
      </c>
      <c r="E31" s="399">
        <f t="shared" si="3"/>
        <v>56.468157278027768</v>
      </c>
      <c r="F31" s="398">
        <v>5.05</v>
      </c>
      <c r="G31" s="411">
        <f t="shared" si="4"/>
        <v>285.16419425404024</v>
      </c>
    </row>
    <row r="32" spans="1:7" ht="15" x14ac:dyDescent="0.25">
      <c r="A32" s="396">
        <f t="shared" si="5"/>
        <v>14</v>
      </c>
      <c r="B32" s="408" t="str">
        <f>'[1]Под 6'!A12</f>
        <v>7</v>
      </c>
      <c r="C32" s="415" t="s">
        <v>297</v>
      </c>
      <c r="D32" s="410">
        <v>80.599999999999994</v>
      </c>
      <c r="E32" s="399">
        <f t="shared" si="3"/>
        <v>45.19695607357535</v>
      </c>
      <c r="F32" s="398">
        <v>5.05</v>
      </c>
      <c r="G32" s="411">
        <f t="shared" si="4"/>
        <v>228.24462817155552</v>
      </c>
    </row>
    <row r="33" spans="1:7" ht="15" x14ac:dyDescent="0.25">
      <c r="A33" s="396">
        <f t="shared" si="5"/>
        <v>15</v>
      </c>
      <c r="B33" s="408" t="str">
        <f>'[1]Под 6'!A13</f>
        <v>8</v>
      </c>
      <c r="C33" s="415" t="s">
        <v>298</v>
      </c>
      <c r="D33" s="410">
        <v>111.3</v>
      </c>
      <c r="E33" s="399">
        <f t="shared" si="3"/>
        <v>62.412173833609629</v>
      </c>
      <c r="F33" s="398">
        <v>5.05</v>
      </c>
      <c r="G33" s="411">
        <f t="shared" si="4"/>
        <v>315.1814778597286</v>
      </c>
    </row>
    <row r="34" spans="1:7" ht="15" x14ac:dyDescent="0.25">
      <c r="A34" s="396">
        <f t="shared" si="5"/>
        <v>16</v>
      </c>
      <c r="B34" s="408" t="str">
        <f>'[1]Под 6'!A14</f>
        <v>9</v>
      </c>
      <c r="C34" s="415" t="s">
        <v>299</v>
      </c>
      <c r="D34" s="410">
        <v>86.9</v>
      </c>
      <c r="E34" s="399">
        <f t="shared" si="3"/>
        <v>48.72972063019477</v>
      </c>
      <c r="F34" s="398">
        <v>5.05</v>
      </c>
      <c r="G34" s="411">
        <f t="shared" si="4"/>
        <v>246.08508918248359</v>
      </c>
    </row>
    <row r="35" spans="1:7" ht="15" x14ac:dyDescent="0.25">
      <c r="A35" s="396">
        <f t="shared" si="5"/>
        <v>17</v>
      </c>
      <c r="B35" s="408" t="str">
        <f>'[1]Под 6'!A15</f>
        <v>Л/10</v>
      </c>
      <c r="C35" s="415" t="s">
        <v>300</v>
      </c>
      <c r="D35" s="410">
        <v>84.4</v>
      </c>
      <c r="E35" s="399">
        <f t="shared" si="3"/>
        <v>47.327829933123574</v>
      </c>
      <c r="F35" s="398">
        <v>5.05</v>
      </c>
      <c r="G35" s="411">
        <f t="shared" si="4"/>
        <v>239.00554116227403</v>
      </c>
    </row>
    <row r="36" spans="1:7" ht="15" x14ac:dyDescent="0.25">
      <c r="A36" s="396">
        <f t="shared" si="5"/>
        <v>18</v>
      </c>
      <c r="B36" s="408" t="str">
        <f>'[1]Под 6'!A16</f>
        <v>11</v>
      </c>
      <c r="C36" s="413" t="s">
        <v>301</v>
      </c>
      <c r="D36" s="410">
        <v>44.5</v>
      </c>
      <c r="E36" s="399">
        <f t="shared" si="3"/>
        <v>24.953654407867283</v>
      </c>
      <c r="F36" s="398">
        <v>5.05</v>
      </c>
      <c r="G36" s="411">
        <f t="shared" si="4"/>
        <v>126.01595475972978</v>
      </c>
    </row>
    <row r="37" spans="1:7" ht="15" x14ac:dyDescent="0.25">
      <c r="A37" s="396">
        <f t="shared" si="5"/>
        <v>19</v>
      </c>
      <c r="B37" s="408" t="str">
        <f>'[1]Под 6'!A17</f>
        <v>12</v>
      </c>
      <c r="C37" s="416" t="s">
        <v>302</v>
      </c>
      <c r="D37" s="410">
        <v>45.3</v>
      </c>
      <c r="E37" s="399">
        <f t="shared" si="3"/>
        <v>25.402259430930066</v>
      </c>
      <c r="F37" s="398">
        <v>5.05</v>
      </c>
      <c r="G37" s="411">
        <f t="shared" si="4"/>
        <v>128.28141012619682</v>
      </c>
    </row>
    <row r="38" spans="1:7" ht="15" x14ac:dyDescent="0.25">
      <c r="A38" s="396">
        <f t="shared" si="5"/>
        <v>20</v>
      </c>
      <c r="B38" s="408" t="str">
        <f>'[1]Под 6'!A18</f>
        <v>13</v>
      </c>
      <c r="C38" s="417" t="s">
        <v>303</v>
      </c>
      <c r="D38" s="410">
        <f>107.8</f>
        <v>107.8</v>
      </c>
      <c r="E38" s="399">
        <f t="shared" si="3"/>
        <v>60.449526857709962</v>
      </c>
      <c r="F38" s="398">
        <v>5.05</v>
      </c>
      <c r="G38" s="411">
        <f t="shared" si="4"/>
        <v>305.27011063143527</v>
      </c>
    </row>
    <row r="39" spans="1:7" ht="15" x14ac:dyDescent="0.25">
      <c r="A39" s="396">
        <f t="shared" si="5"/>
        <v>21</v>
      </c>
      <c r="B39" s="408" t="str">
        <f>'[1]Под 6'!A19</f>
        <v>14</v>
      </c>
      <c r="C39" s="417" t="s">
        <v>304</v>
      </c>
      <c r="D39" s="410">
        <v>57.3</v>
      </c>
      <c r="E39" s="399">
        <f t="shared" si="3"/>
        <v>32.131334776871803</v>
      </c>
      <c r="F39" s="398">
        <v>5.05</v>
      </c>
      <c r="G39" s="411">
        <f t="shared" si="4"/>
        <v>162.26324062320259</v>
      </c>
    </row>
    <row r="40" spans="1:7" ht="15" x14ac:dyDescent="0.25">
      <c r="A40" s="396">
        <f t="shared" si="5"/>
        <v>22</v>
      </c>
      <c r="B40" s="408" t="str">
        <f>'[1]Под 6'!A20</f>
        <v>П/ 15</v>
      </c>
      <c r="C40" s="414" t="s">
        <v>305</v>
      </c>
      <c r="D40" s="410">
        <v>110.6</v>
      </c>
      <c r="E40" s="399">
        <f t="shared" si="3"/>
        <v>62.019644438429701</v>
      </c>
      <c r="F40" s="398">
        <v>5.05</v>
      </c>
      <c r="G40" s="411">
        <f t="shared" si="4"/>
        <v>313.19920441406998</v>
      </c>
    </row>
    <row r="41" spans="1:7" ht="15" x14ac:dyDescent="0.25">
      <c r="A41" s="396">
        <f t="shared" si="5"/>
        <v>23</v>
      </c>
      <c r="B41" s="408" t="str">
        <f>'[1]Под 6'!A21</f>
        <v>16</v>
      </c>
      <c r="C41" s="415" t="s">
        <v>306</v>
      </c>
      <c r="D41" s="410">
        <v>79.3</v>
      </c>
      <c r="E41" s="399">
        <f t="shared" si="3"/>
        <v>44.467972911098329</v>
      </c>
      <c r="F41" s="398">
        <v>5.05</v>
      </c>
      <c r="G41" s="411">
        <f t="shared" si="4"/>
        <v>224.56326320104654</v>
      </c>
    </row>
    <row r="42" spans="1:7" ht="15" x14ac:dyDescent="0.25">
      <c r="A42" s="396">
        <f t="shared" si="5"/>
        <v>24</v>
      </c>
      <c r="B42" s="408" t="str">
        <f>'[1]Под 6'!A22</f>
        <v>17</v>
      </c>
      <c r="C42" s="415" t="s">
        <v>307</v>
      </c>
      <c r="D42" s="410">
        <v>118.8</v>
      </c>
      <c r="E42" s="399">
        <f t="shared" si="3"/>
        <v>66.617845924823214</v>
      </c>
      <c r="F42" s="398">
        <v>5.05</v>
      </c>
      <c r="G42" s="411">
        <f t="shared" si="4"/>
        <v>336.42012192035725</v>
      </c>
    </row>
    <row r="43" spans="1:7" ht="15" x14ac:dyDescent="0.25">
      <c r="A43" s="396">
        <f t="shared" si="5"/>
        <v>25</v>
      </c>
      <c r="B43" s="408" t="str">
        <f>'[1]Под 6'!A23</f>
        <v>18</v>
      </c>
      <c r="C43" s="415" t="s">
        <v>308</v>
      </c>
      <c r="D43" s="410">
        <v>85.8</v>
      </c>
      <c r="E43" s="399">
        <f t="shared" si="3"/>
        <v>48.112888723483444</v>
      </c>
      <c r="F43" s="398">
        <v>5.05</v>
      </c>
      <c r="G43" s="411">
        <f t="shared" si="4"/>
        <v>242.97008805359138</v>
      </c>
    </row>
    <row r="44" spans="1:7" ht="15" x14ac:dyDescent="0.25">
      <c r="A44" s="396">
        <f t="shared" si="5"/>
        <v>26</v>
      </c>
      <c r="B44" s="408" t="str">
        <f>'[1]Под 6'!A24</f>
        <v>Л/ 19</v>
      </c>
      <c r="C44" s="415" t="s">
        <v>309</v>
      </c>
      <c r="D44" s="410">
        <v>84.9</v>
      </c>
      <c r="E44" s="399">
        <f t="shared" si="3"/>
        <v>47.608208072537813</v>
      </c>
      <c r="F44" s="398">
        <v>5.05</v>
      </c>
      <c r="G44" s="411">
        <f t="shared" si="4"/>
        <v>240.42145076631596</v>
      </c>
    </row>
    <row r="45" spans="1:7" ht="15" x14ac:dyDescent="0.25">
      <c r="A45" s="396">
        <f t="shared" si="5"/>
        <v>27</v>
      </c>
      <c r="B45" s="408" t="str">
        <f>'[1]Под 6'!A25</f>
        <v>20</v>
      </c>
      <c r="C45" s="417" t="s">
        <v>310</v>
      </c>
      <c r="D45" s="410">
        <v>44.6</v>
      </c>
      <c r="E45" s="399">
        <f t="shared" si="3"/>
        <v>25.009730035750131</v>
      </c>
      <c r="F45" s="398">
        <v>5.05</v>
      </c>
      <c r="G45" s="411">
        <f t="shared" si="4"/>
        <v>126.29913668053815</v>
      </c>
    </row>
    <row r="46" spans="1:7" ht="15" x14ac:dyDescent="0.25">
      <c r="A46" s="396">
        <f t="shared" si="5"/>
        <v>28</v>
      </c>
      <c r="B46" s="408" t="str">
        <f>'[1]Под 6'!A26</f>
        <v>21</v>
      </c>
      <c r="C46" s="417" t="s">
        <v>311</v>
      </c>
      <c r="D46" s="410">
        <v>45.6</v>
      </c>
      <c r="E46" s="399">
        <f t="shared" si="3"/>
        <v>25.570486314578613</v>
      </c>
      <c r="F46" s="398">
        <v>5.05</v>
      </c>
      <c r="G46" s="411">
        <f t="shared" si="4"/>
        <v>129.130955888622</v>
      </c>
    </row>
    <row r="47" spans="1:7" ht="15" x14ac:dyDescent="0.25">
      <c r="A47" s="396">
        <f t="shared" si="5"/>
        <v>29</v>
      </c>
      <c r="B47" s="408" t="str">
        <f>'[1]Под 6'!A27</f>
        <v>22</v>
      </c>
      <c r="C47" s="417" t="s">
        <v>312</v>
      </c>
      <c r="D47" s="410">
        <v>106.6</v>
      </c>
      <c r="E47" s="399">
        <f t="shared" si="3"/>
        <v>59.776619323115781</v>
      </c>
      <c r="F47" s="398">
        <v>5.05</v>
      </c>
      <c r="G47" s="411">
        <f t="shared" si="4"/>
        <v>301.87192758173467</v>
      </c>
    </row>
    <row r="48" spans="1:7" ht="15" x14ac:dyDescent="0.25">
      <c r="A48" s="396">
        <f t="shared" si="5"/>
        <v>30</v>
      </c>
      <c r="B48" s="408" t="str">
        <f>'[1]Под 6'!A28</f>
        <v>23</v>
      </c>
      <c r="C48" s="417" t="s">
        <v>313</v>
      </c>
      <c r="D48" s="410">
        <v>57.8</v>
      </c>
      <c r="E48" s="399">
        <f t="shared" si="3"/>
        <v>32.411712916286042</v>
      </c>
      <c r="F48" s="398">
        <v>5.05</v>
      </c>
      <c r="G48" s="411">
        <f t="shared" si="4"/>
        <v>163.67915022724452</v>
      </c>
    </row>
    <row r="49" spans="1:7" ht="15" x14ac:dyDescent="0.25">
      <c r="A49" s="396">
        <f t="shared" si="5"/>
        <v>31</v>
      </c>
      <c r="B49" s="408" t="str">
        <f>'[1]Под 6'!A29</f>
        <v>П/ 24</v>
      </c>
      <c r="C49" s="415" t="s">
        <v>314</v>
      </c>
      <c r="D49" s="410">
        <v>99.7</v>
      </c>
      <c r="E49" s="399">
        <f t="shared" si="3"/>
        <v>55.90740099919929</v>
      </c>
      <c r="F49" s="398">
        <v>5.05</v>
      </c>
      <c r="G49" s="411">
        <f t="shared" si="4"/>
        <v>282.33237504595638</v>
      </c>
    </row>
    <row r="50" spans="1:7" ht="15" x14ac:dyDescent="0.25">
      <c r="A50" s="396">
        <f t="shared" si="5"/>
        <v>32</v>
      </c>
      <c r="B50" s="408" t="str">
        <f>'[1]Под 6'!A30</f>
        <v>25</v>
      </c>
      <c r="C50" s="415" t="s">
        <v>315</v>
      </c>
      <c r="D50" s="410">
        <f>81</f>
        <v>81</v>
      </c>
      <c r="E50" s="399">
        <f t="shared" si="3"/>
        <v>45.421258585106742</v>
      </c>
      <c r="F50" s="398">
        <v>5.05</v>
      </c>
      <c r="G50" s="411">
        <f t="shared" si="4"/>
        <v>229.37735585478904</v>
      </c>
    </row>
    <row r="51" spans="1:7" ht="15" x14ac:dyDescent="0.25">
      <c r="A51" s="396">
        <f t="shared" si="5"/>
        <v>33</v>
      </c>
      <c r="B51" s="408" t="str">
        <f>'[1]Под 6'!A31</f>
        <v>26</v>
      </c>
      <c r="C51" s="417" t="s">
        <v>316</v>
      </c>
      <c r="D51" s="410">
        <v>118.8</v>
      </c>
      <c r="E51" s="399">
        <f t="shared" si="3"/>
        <v>66.617845924823214</v>
      </c>
      <c r="F51" s="398">
        <v>5.05</v>
      </c>
      <c r="G51" s="411">
        <f t="shared" si="4"/>
        <v>336.42012192035725</v>
      </c>
    </row>
    <row r="52" spans="1:7" ht="15" x14ac:dyDescent="0.25">
      <c r="A52" s="396">
        <f t="shared" si="5"/>
        <v>34</v>
      </c>
      <c r="B52" s="408" t="str">
        <f>'[1]Под 6'!A32</f>
        <v>27</v>
      </c>
      <c r="C52" s="415" t="s">
        <v>317</v>
      </c>
      <c r="D52" s="410">
        <v>85.3</v>
      </c>
      <c r="E52" s="399">
        <f t="shared" si="3"/>
        <v>47.832510584069198</v>
      </c>
      <c r="F52" s="398">
        <v>5.05</v>
      </c>
      <c r="G52" s="411">
        <f t="shared" si="4"/>
        <v>241.55417844954943</v>
      </c>
    </row>
    <row r="53" spans="1:7" ht="15" x14ac:dyDescent="0.25">
      <c r="A53" s="396">
        <f t="shared" si="5"/>
        <v>35</v>
      </c>
      <c r="B53" s="408" t="str">
        <f>'[1]Под 6'!A33</f>
        <v>Л/ 28</v>
      </c>
      <c r="C53" s="415" t="s">
        <v>318</v>
      </c>
      <c r="D53" s="410">
        <v>84</v>
      </c>
      <c r="E53" s="399">
        <f t="shared" si="3"/>
        <v>47.103527421592176</v>
      </c>
      <c r="F53" s="398">
        <v>5.05</v>
      </c>
      <c r="G53" s="411">
        <f t="shared" si="4"/>
        <v>237.87281347904047</v>
      </c>
    </row>
    <row r="54" spans="1:7" ht="15" x14ac:dyDescent="0.25">
      <c r="A54" s="396">
        <f t="shared" si="5"/>
        <v>36</v>
      </c>
      <c r="B54" s="408" t="str">
        <f>'[1]Под 6'!A34</f>
        <v>29</v>
      </c>
      <c r="C54" s="415" t="s">
        <v>319</v>
      </c>
      <c r="D54" s="410">
        <v>46.9</v>
      </c>
      <c r="E54" s="399">
        <f t="shared" si="3"/>
        <v>26.299469477055631</v>
      </c>
      <c r="F54" s="398">
        <v>5.05</v>
      </c>
      <c r="G54" s="411">
        <f t="shared" si="4"/>
        <v>132.81232085913092</v>
      </c>
    </row>
    <row r="55" spans="1:7" ht="15" x14ac:dyDescent="0.25">
      <c r="A55" s="396">
        <f t="shared" si="5"/>
        <v>37</v>
      </c>
      <c r="B55" s="408" t="str">
        <f>'[1]Под 6'!A35</f>
        <v>30</v>
      </c>
      <c r="C55" s="415" t="s">
        <v>320</v>
      </c>
      <c r="D55" s="410">
        <v>45.1</v>
      </c>
      <c r="E55" s="399">
        <f t="shared" si="3"/>
        <v>25.290108175164374</v>
      </c>
      <c r="F55" s="398">
        <v>5.05</v>
      </c>
      <c r="G55" s="411">
        <f t="shared" si="4"/>
        <v>127.71504628458008</v>
      </c>
    </row>
    <row r="56" spans="1:7" ht="15" x14ac:dyDescent="0.25">
      <c r="A56" s="396">
        <f t="shared" si="5"/>
        <v>38</v>
      </c>
      <c r="B56" s="408" t="str">
        <f>'[1]Под 6'!A36</f>
        <v>31</v>
      </c>
      <c r="C56" s="415" t="s">
        <v>321</v>
      </c>
      <c r="D56" s="410">
        <v>110.2</v>
      </c>
      <c r="E56" s="399">
        <f t="shared" si="3"/>
        <v>61.795341926898317</v>
      </c>
      <c r="F56" s="398">
        <v>5.05</v>
      </c>
      <c r="G56" s="411">
        <f t="shared" si="4"/>
        <v>312.06647673083648</v>
      </c>
    </row>
    <row r="57" spans="1:7" ht="15" x14ac:dyDescent="0.25">
      <c r="A57" s="396">
        <f t="shared" si="5"/>
        <v>39</v>
      </c>
      <c r="B57" s="408" t="str">
        <f>'[1]Под 6'!A37</f>
        <v>32</v>
      </c>
      <c r="C57" s="415" t="s">
        <v>322</v>
      </c>
      <c r="D57" s="410">
        <v>58.5</v>
      </c>
      <c r="E57" s="399">
        <f t="shared" si="3"/>
        <v>32.804242311465984</v>
      </c>
      <c r="F57" s="398">
        <v>5.05</v>
      </c>
      <c r="G57" s="411">
        <f t="shared" si="4"/>
        <v>165.66142367290323</v>
      </c>
    </row>
    <row r="58" spans="1:7" ht="15" x14ac:dyDescent="0.25">
      <c r="A58" s="396">
        <f t="shared" si="5"/>
        <v>40</v>
      </c>
      <c r="B58" s="408" t="str">
        <f>'[1]Под 6'!A38</f>
        <v>П/ 33</v>
      </c>
      <c r="C58" s="415" t="s">
        <v>323</v>
      </c>
      <c r="D58" s="410">
        <v>98.9</v>
      </c>
      <c r="E58" s="399">
        <f t="shared" ref="E58:E89" si="6">$E$4*D58/$A$5</f>
        <v>55.458795976136507</v>
      </c>
      <c r="F58" s="398">
        <v>5.05</v>
      </c>
      <c r="G58" s="411">
        <f t="shared" si="4"/>
        <v>280.06691967948933</v>
      </c>
    </row>
    <row r="59" spans="1:7" ht="15" x14ac:dyDescent="0.25">
      <c r="A59" s="396">
        <f t="shared" si="5"/>
        <v>41</v>
      </c>
      <c r="B59" s="408" t="str">
        <f>'[1]Под 6'!A39</f>
        <v>34</v>
      </c>
      <c r="C59" s="415" t="s">
        <v>324</v>
      </c>
      <c r="D59" s="410">
        <v>80.099999999999994</v>
      </c>
      <c r="E59" s="399">
        <f t="shared" si="6"/>
        <v>44.916577934161111</v>
      </c>
      <c r="F59" s="398">
        <v>5.05</v>
      </c>
      <c r="G59" s="411">
        <f t="shared" si="4"/>
        <v>226.82871856751359</v>
      </c>
    </row>
    <row r="60" spans="1:7" ht="15" x14ac:dyDescent="0.25">
      <c r="A60" s="396">
        <f t="shared" si="5"/>
        <v>42</v>
      </c>
      <c r="B60" s="408" t="str">
        <f>'[1]Под 6'!A40</f>
        <v>35</v>
      </c>
      <c r="C60" s="415" t="s">
        <v>325</v>
      </c>
      <c r="D60" s="410">
        <v>117.6</v>
      </c>
      <c r="E60" s="399">
        <f t="shared" si="6"/>
        <v>65.944938390229041</v>
      </c>
      <c r="F60" s="398">
        <v>5.05</v>
      </c>
      <c r="G60" s="411">
        <f t="shared" si="4"/>
        <v>333.02193887065664</v>
      </c>
    </row>
    <row r="61" spans="1:7" ht="15" x14ac:dyDescent="0.25">
      <c r="A61" s="396">
        <f t="shared" si="5"/>
        <v>43</v>
      </c>
      <c r="B61" s="408" t="str">
        <f>'[1]Под 6'!A41</f>
        <v>36</v>
      </c>
      <c r="C61" s="415" t="s">
        <v>326</v>
      </c>
      <c r="D61" s="410">
        <v>84.7</v>
      </c>
      <c r="E61" s="399">
        <f t="shared" si="6"/>
        <v>47.496056816772118</v>
      </c>
      <c r="F61" s="398">
        <v>5.05</v>
      </c>
      <c r="G61" s="411">
        <f t="shared" si="4"/>
        <v>239.85508692469918</v>
      </c>
    </row>
    <row r="62" spans="1:7" ht="15" x14ac:dyDescent="0.25">
      <c r="A62" s="396">
        <f t="shared" si="5"/>
        <v>44</v>
      </c>
      <c r="B62" s="408" t="str">
        <f>'[1]Под 6'!A42</f>
        <v>Л/37</v>
      </c>
      <c r="C62" s="415" t="s">
        <v>327</v>
      </c>
      <c r="D62" s="410">
        <v>83.1</v>
      </c>
      <c r="E62" s="399">
        <f t="shared" si="6"/>
        <v>46.598846770646546</v>
      </c>
      <c r="F62" s="398">
        <v>5.05</v>
      </c>
      <c r="G62" s="411">
        <f t="shared" si="4"/>
        <v>235.32417619176505</v>
      </c>
    </row>
    <row r="63" spans="1:7" ht="15" x14ac:dyDescent="0.25">
      <c r="A63" s="396">
        <f t="shared" si="5"/>
        <v>45</v>
      </c>
      <c r="B63" s="408" t="str">
        <f>'[1]Под 6'!A43</f>
        <v>38</v>
      </c>
      <c r="C63" s="418" t="s">
        <v>328</v>
      </c>
      <c r="D63" s="410">
        <v>44.7</v>
      </c>
      <c r="E63" s="399">
        <f t="shared" si="6"/>
        <v>25.065805663632979</v>
      </c>
      <c r="F63" s="398">
        <v>5.05</v>
      </c>
      <c r="G63" s="411">
        <f t="shared" si="4"/>
        <v>126.58231860134654</v>
      </c>
    </row>
    <row r="64" spans="1:7" ht="15" x14ac:dyDescent="0.25">
      <c r="A64" s="396">
        <f t="shared" si="5"/>
        <v>46</v>
      </c>
      <c r="B64" s="408" t="str">
        <f>'[1]Под 6'!A44</f>
        <v>39</v>
      </c>
      <c r="C64" s="419" t="s">
        <v>994</v>
      </c>
      <c r="D64" s="410">
        <v>46.4</v>
      </c>
      <c r="E64" s="399">
        <f t="shared" si="6"/>
        <v>26.019091337641392</v>
      </c>
      <c r="F64" s="398">
        <v>5.05</v>
      </c>
      <c r="G64" s="411">
        <f t="shared" si="4"/>
        <v>131.39641125508902</v>
      </c>
    </row>
    <row r="65" spans="1:7" ht="15" x14ac:dyDescent="0.25">
      <c r="A65" s="396">
        <f t="shared" si="5"/>
        <v>47</v>
      </c>
      <c r="B65" s="408" t="str">
        <f>'[1]Под 6'!A45</f>
        <v>40</v>
      </c>
      <c r="C65" s="420" t="s">
        <v>329</v>
      </c>
      <c r="D65" s="410">
        <v>107.1</v>
      </c>
      <c r="E65" s="399">
        <f t="shared" si="6"/>
        <v>60.056997462530028</v>
      </c>
      <c r="F65" s="398">
        <v>5.05</v>
      </c>
      <c r="G65" s="411">
        <f t="shared" si="4"/>
        <v>303.28783718577665</v>
      </c>
    </row>
    <row r="66" spans="1:7" ht="15" x14ac:dyDescent="0.25">
      <c r="A66" s="396">
        <f t="shared" si="5"/>
        <v>48</v>
      </c>
      <c r="B66" s="408" t="str">
        <f>'[1]Под 6'!A46</f>
        <v>41</v>
      </c>
      <c r="C66" s="417" t="s">
        <v>330</v>
      </c>
      <c r="D66" s="410">
        <v>57.7</v>
      </c>
      <c r="E66" s="399">
        <f t="shared" si="6"/>
        <v>32.355637288403202</v>
      </c>
      <c r="F66" s="398">
        <v>5.05</v>
      </c>
      <c r="G66" s="411">
        <f t="shared" si="4"/>
        <v>163.39596830643617</v>
      </c>
    </row>
    <row r="67" spans="1:7" ht="15" x14ac:dyDescent="0.25">
      <c r="A67" s="396">
        <f t="shared" si="5"/>
        <v>49</v>
      </c>
      <c r="B67" s="408" t="str">
        <f>'[1]Под 6'!A47</f>
        <v>П/42</v>
      </c>
      <c r="C67" s="421" t="s">
        <v>331</v>
      </c>
      <c r="D67" s="410">
        <v>100</v>
      </c>
      <c r="E67" s="399">
        <f t="shared" si="6"/>
        <v>56.075627882847833</v>
      </c>
      <c r="F67" s="398">
        <v>5.05</v>
      </c>
      <c r="G67" s="411">
        <f t="shared" si="4"/>
        <v>283.18192080838156</v>
      </c>
    </row>
    <row r="68" spans="1:7" ht="15" x14ac:dyDescent="0.25">
      <c r="A68" s="396">
        <f t="shared" si="5"/>
        <v>50</v>
      </c>
      <c r="B68" s="408">
        <f>'[1]Под 6'!A48</f>
        <v>43</v>
      </c>
      <c r="C68" s="417" t="s">
        <v>332</v>
      </c>
      <c r="D68" s="410">
        <v>78.400000000000006</v>
      </c>
      <c r="E68" s="399">
        <f t="shared" si="6"/>
        <v>43.963292260152706</v>
      </c>
      <c r="F68" s="398">
        <v>5.05</v>
      </c>
      <c r="G68" s="411">
        <f t="shared" si="4"/>
        <v>222.01462591377117</v>
      </c>
    </row>
    <row r="69" spans="1:7" ht="15" x14ac:dyDescent="0.25">
      <c r="A69" s="396">
        <f t="shared" si="5"/>
        <v>51</v>
      </c>
      <c r="B69" s="408">
        <f>'[1]Под 6'!A49</f>
        <v>44</v>
      </c>
      <c r="C69" s="415" t="s">
        <v>333</v>
      </c>
      <c r="D69" s="410">
        <v>117.8</v>
      </c>
      <c r="E69" s="399">
        <f t="shared" si="6"/>
        <v>66.057089645994736</v>
      </c>
      <c r="F69" s="398">
        <v>5.05</v>
      </c>
      <c r="G69" s="411">
        <f t="shared" si="4"/>
        <v>333.58830271227339</v>
      </c>
    </row>
    <row r="70" spans="1:7" ht="15" x14ac:dyDescent="0.25">
      <c r="A70" s="396">
        <f t="shared" si="5"/>
        <v>52</v>
      </c>
      <c r="B70" s="408">
        <f>'[1]Под 6'!A50</f>
        <v>45</v>
      </c>
      <c r="C70" s="417" t="s">
        <v>334</v>
      </c>
      <c r="D70" s="410">
        <f>85.5</f>
        <v>85.5</v>
      </c>
      <c r="E70" s="399">
        <f t="shared" si="6"/>
        <v>47.9446618398349</v>
      </c>
      <c r="F70" s="398">
        <v>5.05</v>
      </c>
      <c r="G70" s="411">
        <f t="shared" si="4"/>
        <v>242.12054229116623</v>
      </c>
    </row>
    <row r="71" spans="1:7" ht="15" x14ac:dyDescent="0.25">
      <c r="A71" s="396">
        <f t="shared" si="5"/>
        <v>53</v>
      </c>
      <c r="B71" s="408" t="str">
        <f>'[1]Под 6'!A51</f>
        <v>Л/ 46</v>
      </c>
      <c r="C71" s="415" t="s">
        <v>335</v>
      </c>
      <c r="D71" s="410">
        <v>84.4</v>
      </c>
      <c r="E71" s="399">
        <f t="shared" si="6"/>
        <v>47.327829933123574</v>
      </c>
      <c r="F71" s="398">
        <v>5.05</v>
      </c>
      <c r="G71" s="411">
        <f t="shared" si="4"/>
        <v>239.00554116227403</v>
      </c>
    </row>
    <row r="72" spans="1:7" ht="15" x14ac:dyDescent="0.25">
      <c r="A72" s="396">
        <f t="shared" si="5"/>
        <v>54</v>
      </c>
      <c r="B72" s="408">
        <f>'[1]Под 6'!A52</f>
        <v>47</v>
      </c>
      <c r="C72" s="415" t="s">
        <v>336</v>
      </c>
      <c r="D72" s="410">
        <v>45.5</v>
      </c>
      <c r="E72" s="399">
        <f t="shared" si="6"/>
        <v>25.514410686695765</v>
      </c>
      <c r="F72" s="398">
        <v>5.05</v>
      </c>
      <c r="G72" s="411">
        <f t="shared" si="4"/>
        <v>128.84777396781359</v>
      </c>
    </row>
    <row r="73" spans="1:7" ht="15" x14ac:dyDescent="0.25">
      <c r="A73" s="396">
        <f t="shared" si="5"/>
        <v>55</v>
      </c>
      <c r="B73" s="408">
        <f>'[1]Под 6'!A53</f>
        <v>48</v>
      </c>
      <c r="C73" s="415" t="s">
        <v>337</v>
      </c>
      <c r="D73" s="410">
        <v>45.7</v>
      </c>
      <c r="E73" s="399">
        <f t="shared" si="6"/>
        <v>25.626561942461461</v>
      </c>
      <c r="F73" s="398">
        <v>5.05</v>
      </c>
      <c r="G73" s="411">
        <f t="shared" si="4"/>
        <v>129.41413780943037</v>
      </c>
    </row>
    <row r="74" spans="1:7" ht="15" x14ac:dyDescent="0.25">
      <c r="A74" s="396">
        <f t="shared" si="5"/>
        <v>56</v>
      </c>
      <c r="B74" s="408">
        <f>'[1]Под 6'!A54</f>
        <v>49</v>
      </c>
      <c r="C74" s="422" t="s">
        <v>338</v>
      </c>
      <c r="D74" s="410">
        <v>107.4</v>
      </c>
      <c r="E74" s="399">
        <f t="shared" si="6"/>
        <v>60.225224346178578</v>
      </c>
      <c r="F74" s="398">
        <v>5.05</v>
      </c>
      <c r="G74" s="411">
        <f t="shared" si="4"/>
        <v>304.13738294820183</v>
      </c>
    </row>
    <row r="75" spans="1:7" ht="15" x14ac:dyDescent="0.25">
      <c r="A75" s="396">
        <f t="shared" si="5"/>
        <v>57</v>
      </c>
      <c r="B75" s="408">
        <f>'[1]Под 6'!A55</f>
        <v>50</v>
      </c>
      <c r="C75" s="409" t="s">
        <v>339</v>
      </c>
      <c r="D75" s="410">
        <v>57.6</v>
      </c>
      <c r="E75" s="399">
        <f t="shared" si="6"/>
        <v>32.299561660520354</v>
      </c>
      <c r="F75" s="398">
        <v>5.05</v>
      </c>
      <c r="G75" s="411">
        <f t="shared" si="4"/>
        <v>163.11278638562777</v>
      </c>
    </row>
    <row r="76" spans="1:7" ht="15" x14ac:dyDescent="0.25">
      <c r="A76" s="423">
        <f t="shared" si="5"/>
        <v>58</v>
      </c>
      <c r="B76" s="408" t="str">
        <f>'[1]Под 6'!A61</f>
        <v>П/ 51</v>
      </c>
      <c r="C76" s="414" t="s">
        <v>340</v>
      </c>
      <c r="D76" s="410">
        <v>101</v>
      </c>
      <c r="E76" s="399">
        <f t="shared" si="6"/>
        <v>56.636384161676311</v>
      </c>
      <c r="F76" s="398">
        <v>5.05</v>
      </c>
      <c r="G76" s="411">
        <f t="shared" si="4"/>
        <v>286.01374001646536</v>
      </c>
    </row>
    <row r="77" spans="1:7" ht="15" x14ac:dyDescent="0.25">
      <c r="A77" s="423">
        <f t="shared" si="5"/>
        <v>59</v>
      </c>
      <c r="B77" s="408" t="str">
        <f>'[1]Под 6'!A62</f>
        <v>52</v>
      </c>
      <c r="C77" s="414" t="s">
        <v>341</v>
      </c>
      <c r="D77" s="410">
        <v>78.7</v>
      </c>
      <c r="E77" s="399">
        <f t="shared" si="6"/>
        <v>44.131519143801242</v>
      </c>
      <c r="F77" s="398">
        <v>5.05</v>
      </c>
      <c r="G77" s="411">
        <f t="shared" si="4"/>
        <v>222.86417167619626</v>
      </c>
    </row>
    <row r="78" spans="1:7" ht="15" x14ac:dyDescent="0.25">
      <c r="A78" s="423">
        <f t="shared" si="5"/>
        <v>60</v>
      </c>
      <c r="B78" s="408" t="str">
        <f>'[1]Под 6'!A63</f>
        <v>53</v>
      </c>
      <c r="C78" s="414" t="s">
        <v>342</v>
      </c>
      <c r="D78" s="410">
        <v>117.1</v>
      </c>
      <c r="E78" s="399">
        <f t="shared" si="6"/>
        <v>65.664560250814816</v>
      </c>
      <c r="F78" s="398">
        <v>5.05</v>
      </c>
      <c r="G78" s="411">
        <f t="shared" si="4"/>
        <v>331.60602926661483</v>
      </c>
    </row>
    <row r="79" spans="1:7" ht="15" x14ac:dyDescent="0.25">
      <c r="A79" s="423">
        <f t="shared" si="5"/>
        <v>61</v>
      </c>
      <c r="B79" s="408" t="str">
        <f>'[1]Под 6'!A64</f>
        <v>54</v>
      </c>
      <c r="C79" s="414" t="s">
        <v>343</v>
      </c>
      <c r="D79" s="410">
        <v>86.1</v>
      </c>
      <c r="E79" s="399">
        <f t="shared" si="6"/>
        <v>48.281115607131987</v>
      </c>
      <c r="F79" s="398">
        <v>5.05</v>
      </c>
      <c r="G79" s="411">
        <f t="shared" si="4"/>
        <v>243.81963381601653</v>
      </c>
    </row>
    <row r="80" spans="1:7" ht="15" x14ac:dyDescent="0.25">
      <c r="A80" s="423">
        <f t="shared" si="5"/>
        <v>62</v>
      </c>
      <c r="B80" s="408" t="str">
        <f>'[1]Под 6'!A65</f>
        <v>Л/ 55</v>
      </c>
      <c r="C80" s="415" t="s">
        <v>344</v>
      </c>
      <c r="D80" s="410">
        <v>83.5</v>
      </c>
      <c r="E80" s="399">
        <f t="shared" si="6"/>
        <v>46.823149282177944</v>
      </c>
      <c r="F80" s="398">
        <v>5.05</v>
      </c>
      <c r="G80" s="411">
        <f t="shared" si="4"/>
        <v>236.4569038749986</v>
      </c>
    </row>
    <row r="81" spans="1:7" ht="15" x14ac:dyDescent="0.25">
      <c r="A81" s="423">
        <f t="shared" si="5"/>
        <v>63</v>
      </c>
      <c r="B81" s="408" t="str">
        <f>'[1]Под 6'!A66</f>
        <v>56</v>
      </c>
      <c r="C81" s="415" t="s">
        <v>345</v>
      </c>
      <c r="D81" s="410">
        <v>45.6</v>
      </c>
      <c r="E81" s="399">
        <f t="shared" si="6"/>
        <v>25.570486314578613</v>
      </c>
      <c r="F81" s="398">
        <v>5.05</v>
      </c>
      <c r="G81" s="411">
        <f t="shared" si="4"/>
        <v>129.130955888622</v>
      </c>
    </row>
    <row r="82" spans="1:7" ht="15" x14ac:dyDescent="0.25">
      <c r="A82" s="423">
        <f t="shared" si="5"/>
        <v>64</v>
      </c>
      <c r="B82" s="408" t="str">
        <f>'[1]Под 6'!A67</f>
        <v>57</v>
      </c>
      <c r="C82" s="415" t="s">
        <v>346</v>
      </c>
      <c r="D82" s="410">
        <v>45.3</v>
      </c>
      <c r="E82" s="399">
        <f t="shared" si="6"/>
        <v>25.402259430930066</v>
      </c>
      <c r="F82" s="398">
        <v>5.05</v>
      </c>
      <c r="G82" s="411">
        <f t="shared" si="4"/>
        <v>128.28141012619682</v>
      </c>
    </row>
    <row r="83" spans="1:7" ht="15" x14ac:dyDescent="0.25">
      <c r="A83" s="423">
        <f t="shared" si="5"/>
        <v>65</v>
      </c>
      <c r="B83" s="408" t="str">
        <f>'[1]Под 6'!A68</f>
        <v>58</v>
      </c>
      <c r="C83" s="415" t="s">
        <v>347</v>
      </c>
      <c r="D83" s="410">
        <v>107</v>
      </c>
      <c r="E83" s="399">
        <f t="shared" si="6"/>
        <v>60.00092183464718</v>
      </c>
      <c r="F83" s="398">
        <v>5.05</v>
      </c>
      <c r="G83" s="411">
        <f t="shared" si="4"/>
        <v>303.00465526496822</v>
      </c>
    </row>
    <row r="84" spans="1:7" ht="15" x14ac:dyDescent="0.25">
      <c r="A84" s="423">
        <f t="shared" si="5"/>
        <v>66</v>
      </c>
      <c r="B84" s="408" t="str">
        <f>'[1]Под 6'!A69</f>
        <v>59</v>
      </c>
      <c r="C84" s="415" t="s">
        <v>348</v>
      </c>
      <c r="D84" s="410">
        <v>59.3</v>
      </c>
      <c r="E84" s="399">
        <f t="shared" si="6"/>
        <v>33.252847334528759</v>
      </c>
      <c r="F84" s="398">
        <v>5.05</v>
      </c>
      <c r="G84" s="411">
        <f t="shared" si="4"/>
        <v>167.92687903937022</v>
      </c>
    </row>
    <row r="85" spans="1:7" ht="17.25" customHeight="1" x14ac:dyDescent="0.25">
      <c r="A85" s="423">
        <f t="shared" si="5"/>
        <v>67</v>
      </c>
      <c r="B85" s="408" t="str">
        <f>'[1]Под 6'!A70</f>
        <v>П/60</v>
      </c>
      <c r="C85" s="424" t="s">
        <v>349</v>
      </c>
      <c r="D85" s="410">
        <v>99.9</v>
      </c>
      <c r="E85" s="399">
        <f t="shared" si="6"/>
        <v>56.019552254964985</v>
      </c>
      <c r="F85" s="398">
        <v>5.05</v>
      </c>
      <c r="G85" s="411">
        <f t="shared" si="4"/>
        <v>282.89873888757319</v>
      </c>
    </row>
    <row r="86" spans="1:7" ht="15" x14ac:dyDescent="0.25">
      <c r="A86" s="423">
        <f t="shared" si="5"/>
        <v>68</v>
      </c>
      <c r="B86" s="408" t="str">
        <f>'[1]Под 6'!A71</f>
        <v>61</v>
      </c>
      <c r="C86" s="425" t="s">
        <v>350</v>
      </c>
      <c r="D86" s="410">
        <v>79</v>
      </c>
      <c r="E86" s="399">
        <f t="shared" si="6"/>
        <v>44.299746027449785</v>
      </c>
      <c r="F86" s="398">
        <v>5.05</v>
      </c>
      <c r="G86" s="411">
        <f t="shared" si="4"/>
        <v>223.71371743862142</v>
      </c>
    </row>
    <row r="87" spans="1:7" ht="15" x14ac:dyDescent="0.25">
      <c r="A87" s="423">
        <f t="shared" si="5"/>
        <v>69</v>
      </c>
      <c r="B87" s="408" t="str">
        <f>'[1]Под 6'!A72</f>
        <v>62</v>
      </c>
      <c r="C87" s="414" t="s">
        <v>351</v>
      </c>
      <c r="D87" s="410">
        <v>117.9</v>
      </c>
      <c r="E87" s="399">
        <f t="shared" si="6"/>
        <v>66.113165273877598</v>
      </c>
      <c r="F87" s="398">
        <v>5.05</v>
      </c>
      <c r="G87" s="411">
        <f t="shared" si="4"/>
        <v>333.87148463308188</v>
      </c>
    </row>
    <row r="88" spans="1:7" ht="15" x14ac:dyDescent="0.25">
      <c r="A88" s="423">
        <f t="shared" si="5"/>
        <v>70</v>
      </c>
      <c r="B88" s="408" t="str">
        <f>'[1]Под 6'!A73</f>
        <v>63</v>
      </c>
      <c r="C88" s="425" t="s">
        <v>352</v>
      </c>
      <c r="D88" s="410">
        <v>84</v>
      </c>
      <c r="E88" s="399">
        <f t="shared" si="6"/>
        <v>47.103527421592176</v>
      </c>
      <c r="F88" s="398">
        <v>5.05</v>
      </c>
      <c r="G88" s="411">
        <f t="shared" si="4"/>
        <v>237.87281347904047</v>
      </c>
    </row>
    <row r="89" spans="1:7" ht="15" x14ac:dyDescent="0.25">
      <c r="A89" s="423">
        <f t="shared" si="5"/>
        <v>71</v>
      </c>
      <c r="B89" s="408" t="str">
        <f>'[1]Под 6'!A74</f>
        <v>Л/ 64</v>
      </c>
      <c r="C89" s="414" t="s">
        <v>353</v>
      </c>
      <c r="D89" s="410">
        <v>82.7</v>
      </c>
      <c r="E89" s="399">
        <f t="shared" si="6"/>
        <v>46.374544259115154</v>
      </c>
      <c r="F89" s="398">
        <v>5.05</v>
      </c>
      <c r="G89" s="411">
        <f t="shared" si="4"/>
        <v>234.19144850853152</v>
      </c>
    </row>
    <row r="90" spans="1:7" ht="15" x14ac:dyDescent="0.25">
      <c r="A90" s="423">
        <f t="shared" si="5"/>
        <v>72</v>
      </c>
      <c r="B90" s="408" t="str">
        <f>'[1]Под 6'!A75</f>
        <v>65</v>
      </c>
      <c r="C90" s="415" t="s">
        <v>354</v>
      </c>
      <c r="D90" s="410">
        <v>44.8</v>
      </c>
      <c r="E90" s="399">
        <f t="shared" ref="E90:E121" si="7">$E$4*D90/$A$5</f>
        <v>25.121881291515823</v>
      </c>
      <c r="F90" s="398">
        <v>5.05</v>
      </c>
      <c r="G90" s="411">
        <f t="shared" si="4"/>
        <v>126.8655005221549</v>
      </c>
    </row>
    <row r="91" spans="1:7" ht="15" x14ac:dyDescent="0.25">
      <c r="A91" s="423">
        <f t="shared" si="5"/>
        <v>73</v>
      </c>
      <c r="B91" s="408" t="str">
        <f>'[1]Под 6'!A76</f>
        <v>66</v>
      </c>
      <c r="C91" s="414" t="s">
        <v>355</v>
      </c>
      <c r="D91" s="410">
        <v>45.3</v>
      </c>
      <c r="E91" s="399">
        <f t="shared" si="7"/>
        <v>25.402259430930066</v>
      </c>
      <c r="F91" s="398">
        <v>5.05</v>
      </c>
      <c r="G91" s="411">
        <f t="shared" ref="G91:G154" si="8">E91*F91</f>
        <v>128.28141012619682</v>
      </c>
    </row>
    <row r="92" spans="1:7" ht="15" x14ac:dyDescent="0.25">
      <c r="A92" s="423">
        <f t="shared" si="5"/>
        <v>74</v>
      </c>
      <c r="B92" s="408" t="str">
        <f>'[1]Под 6'!A77</f>
        <v>67</v>
      </c>
      <c r="C92" s="415" t="s">
        <v>356</v>
      </c>
      <c r="D92" s="410">
        <v>108.1</v>
      </c>
      <c r="E92" s="399">
        <f t="shared" si="7"/>
        <v>60.617753741358499</v>
      </c>
      <c r="F92" s="398">
        <v>5.05</v>
      </c>
      <c r="G92" s="411">
        <f t="shared" si="8"/>
        <v>306.1196563938604</v>
      </c>
    </row>
    <row r="93" spans="1:7" ht="15" x14ac:dyDescent="0.25">
      <c r="A93" s="423">
        <f t="shared" si="5"/>
        <v>75</v>
      </c>
      <c r="B93" s="408" t="str">
        <f>'[1]Под 6'!A78</f>
        <v>68</v>
      </c>
      <c r="C93" s="415" t="s">
        <v>357</v>
      </c>
      <c r="D93" s="410">
        <v>54.7</v>
      </c>
      <c r="E93" s="399">
        <f t="shared" si="7"/>
        <v>30.673368451917767</v>
      </c>
      <c r="F93" s="398">
        <v>5.05</v>
      </c>
      <c r="G93" s="411">
        <f t="shared" si="8"/>
        <v>154.90051068218472</v>
      </c>
    </row>
    <row r="94" spans="1:7" ht="15" x14ac:dyDescent="0.25">
      <c r="A94" s="423">
        <f t="shared" ref="A94:A157" si="9">A93+1</f>
        <v>76</v>
      </c>
      <c r="B94" s="408" t="str">
        <f>'[1]Под 6'!A79</f>
        <v>П/69</v>
      </c>
      <c r="C94" s="415" t="s">
        <v>358</v>
      </c>
      <c r="D94" s="410">
        <v>100.3</v>
      </c>
      <c r="E94" s="399">
        <f t="shared" si="7"/>
        <v>56.243854766496376</v>
      </c>
      <c r="F94" s="398">
        <v>5.05</v>
      </c>
      <c r="G94" s="411">
        <f t="shared" si="8"/>
        <v>284.03146657080669</v>
      </c>
    </row>
    <row r="95" spans="1:7" ht="15" x14ac:dyDescent="0.25">
      <c r="A95" s="423">
        <f t="shared" si="9"/>
        <v>77</v>
      </c>
      <c r="B95" s="408" t="str">
        <f>'[1]Под 6'!A80</f>
        <v>70</v>
      </c>
      <c r="C95" s="415" t="s">
        <v>359</v>
      </c>
      <c r="D95" s="410">
        <v>79.599999999999994</v>
      </c>
      <c r="E95" s="399">
        <f t="shared" si="7"/>
        <v>44.636199794746872</v>
      </c>
      <c r="F95" s="398">
        <v>5.05</v>
      </c>
      <c r="G95" s="411">
        <f t="shared" si="8"/>
        <v>225.41280896347169</v>
      </c>
    </row>
    <row r="96" spans="1:7" ht="15" x14ac:dyDescent="0.25">
      <c r="A96" s="423">
        <f t="shared" si="9"/>
        <v>78</v>
      </c>
      <c r="B96" s="408" t="str">
        <f>'[1]Под 6'!A81</f>
        <v>71</v>
      </c>
      <c r="C96" s="417" t="s">
        <v>360</v>
      </c>
      <c r="D96" s="410">
        <v>203.8</v>
      </c>
      <c r="E96" s="399">
        <f t="shared" si="7"/>
        <v>114.28212962524388</v>
      </c>
      <c r="F96" s="398">
        <v>5.05</v>
      </c>
      <c r="G96" s="411">
        <f t="shared" si="8"/>
        <v>577.12475460748158</v>
      </c>
    </row>
    <row r="97" spans="1:7" ht="15" x14ac:dyDescent="0.25">
      <c r="A97" s="423">
        <f t="shared" si="9"/>
        <v>79</v>
      </c>
      <c r="B97" s="408" t="str">
        <f>'[1]Под 6'!A82</f>
        <v>Л/72</v>
      </c>
      <c r="C97" s="415" t="s">
        <v>361</v>
      </c>
      <c r="D97" s="410">
        <v>82.4</v>
      </c>
      <c r="E97" s="399">
        <f t="shared" si="7"/>
        <v>46.206317375466618</v>
      </c>
      <c r="F97" s="398">
        <v>5.05</v>
      </c>
      <c r="G97" s="411">
        <f t="shared" si="8"/>
        <v>233.3419027461064</v>
      </c>
    </row>
    <row r="98" spans="1:7" ht="15" x14ac:dyDescent="0.25">
      <c r="A98" s="423">
        <f t="shared" si="9"/>
        <v>80</v>
      </c>
      <c r="B98" s="408" t="str">
        <f>'[1]Под 6'!A83</f>
        <v>73</v>
      </c>
      <c r="C98" s="415" t="s">
        <v>362</v>
      </c>
      <c r="D98" s="410">
        <v>44.3</v>
      </c>
      <c r="E98" s="399">
        <f t="shared" si="7"/>
        <v>24.841503152101588</v>
      </c>
      <c r="F98" s="398">
        <v>5.05</v>
      </c>
      <c r="G98" s="411">
        <f t="shared" si="8"/>
        <v>125.44959091811302</v>
      </c>
    </row>
    <row r="99" spans="1:7" ht="15" x14ac:dyDescent="0.25">
      <c r="A99" s="423">
        <f t="shared" si="9"/>
        <v>81</v>
      </c>
      <c r="B99" s="408" t="str">
        <f>'[1]Под 6'!A84</f>
        <v>74</v>
      </c>
      <c r="C99" s="415" t="s">
        <v>363</v>
      </c>
      <c r="D99" s="410">
        <v>45.9</v>
      </c>
      <c r="E99" s="399">
        <f t="shared" si="7"/>
        <v>25.738713198227156</v>
      </c>
      <c r="F99" s="398">
        <v>5.05</v>
      </c>
      <c r="G99" s="411">
        <f t="shared" si="8"/>
        <v>129.98050165104712</v>
      </c>
    </row>
    <row r="100" spans="1:7" ht="15" x14ac:dyDescent="0.25">
      <c r="A100" s="423">
        <f t="shared" si="9"/>
        <v>82</v>
      </c>
      <c r="B100" s="408" t="str">
        <f>'[1]Под 6'!A85</f>
        <v>75</v>
      </c>
      <c r="C100" s="415" t="s">
        <v>364</v>
      </c>
      <c r="D100" s="410">
        <v>108.8</v>
      </c>
      <c r="E100" s="399">
        <f t="shared" si="7"/>
        <v>61.010283136538433</v>
      </c>
      <c r="F100" s="398">
        <v>5.05</v>
      </c>
      <c r="G100" s="411">
        <f t="shared" si="8"/>
        <v>308.10192983951907</v>
      </c>
    </row>
    <row r="101" spans="1:7" ht="15" x14ac:dyDescent="0.25">
      <c r="A101" s="423">
        <f t="shared" si="9"/>
        <v>83</v>
      </c>
      <c r="B101" s="408" t="str">
        <f>'[1]Под 6'!A86</f>
        <v>76</v>
      </c>
      <c r="C101" s="415" t="s">
        <v>365</v>
      </c>
      <c r="D101" s="410">
        <v>54.9</v>
      </c>
      <c r="E101" s="399">
        <f t="shared" si="7"/>
        <v>30.785519707683459</v>
      </c>
      <c r="F101" s="398">
        <v>5.05</v>
      </c>
      <c r="G101" s="411">
        <f t="shared" si="8"/>
        <v>155.46687452380147</v>
      </c>
    </row>
    <row r="102" spans="1:7" ht="15" x14ac:dyDescent="0.25">
      <c r="A102" s="423">
        <f t="shared" si="9"/>
        <v>84</v>
      </c>
      <c r="B102" s="408" t="str">
        <f>'[1]Под 6'!A87</f>
        <v>П/ 77</v>
      </c>
      <c r="C102" s="415" t="s">
        <v>366</v>
      </c>
      <c r="D102" s="410">
        <v>100.4</v>
      </c>
      <c r="E102" s="399">
        <f t="shared" si="7"/>
        <v>56.299930394379224</v>
      </c>
      <c r="F102" s="398">
        <v>5.05</v>
      </c>
      <c r="G102" s="411">
        <f t="shared" si="8"/>
        <v>284.31464849161506</v>
      </c>
    </row>
    <row r="103" spans="1:7" ht="15" x14ac:dyDescent="0.25">
      <c r="A103" s="423">
        <f t="shared" si="9"/>
        <v>85</v>
      </c>
      <c r="B103" s="408" t="str">
        <f>'[1]Под 6'!A88</f>
        <v>78</v>
      </c>
      <c r="C103" s="415" t="s">
        <v>367</v>
      </c>
      <c r="D103" s="410">
        <v>80.099999999999994</v>
      </c>
      <c r="E103" s="399">
        <f t="shared" si="7"/>
        <v>44.916577934161111</v>
      </c>
      <c r="F103" s="398">
        <v>5.05</v>
      </c>
      <c r="G103" s="411">
        <f t="shared" si="8"/>
        <v>226.82871856751359</v>
      </c>
    </row>
    <row r="104" spans="1:7" ht="15" x14ac:dyDescent="0.25">
      <c r="A104" s="423">
        <f t="shared" si="9"/>
        <v>86</v>
      </c>
      <c r="B104" s="408" t="str">
        <f>'[1]Под 6'!A89</f>
        <v>79</v>
      </c>
      <c r="C104" s="415" t="s">
        <v>368</v>
      </c>
      <c r="D104" s="410">
        <v>118.7</v>
      </c>
      <c r="E104" s="399">
        <f t="shared" si="7"/>
        <v>66.561770296940381</v>
      </c>
      <c r="F104" s="398">
        <v>5.05</v>
      </c>
      <c r="G104" s="411">
        <f t="shared" si="8"/>
        <v>336.13693999954893</v>
      </c>
    </row>
    <row r="105" spans="1:7" ht="15" x14ac:dyDescent="0.25">
      <c r="A105" s="423">
        <f t="shared" si="9"/>
        <v>87</v>
      </c>
      <c r="B105" s="408" t="str">
        <f>'[1]Под 6'!A90</f>
        <v>80</v>
      </c>
      <c r="C105" s="415" t="s">
        <v>369</v>
      </c>
      <c r="D105" s="410">
        <v>84.2</v>
      </c>
      <c r="E105" s="399">
        <f t="shared" si="7"/>
        <v>47.215678677357872</v>
      </c>
      <c r="F105" s="398">
        <v>5.05</v>
      </c>
      <c r="G105" s="411">
        <f t="shared" si="8"/>
        <v>238.43917732065725</v>
      </c>
    </row>
    <row r="106" spans="1:7" ht="15" x14ac:dyDescent="0.25">
      <c r="A106" s="423">
        <f t="shared" si="9"/>
        <v>88</v>
      </c>
      <c r="B106" s="408" t="str">
        <f>'[1]Под 6'!A91</f>
        <v>Л/ 81</v>
      </c>
      <c r="C106" s="425" t="s">
        <v>370</v>
      </c>
      <c r="D106" s="410">
        <v>84</v>
      </c>
      <c r="E106" s="399">
        <f t="shared" si="7"/>
        <v>47.103527421592176</v>
      </c>
      <c r="F106" s="398">
        <v>5.05</v>
      </c>
      <c r="G106" s="411">
        <f t="shared" si="8"/>
        <v>237.87281347904047</v>
      </c>
    </row>
    <row r="107" spans="1:7" ht="15" x14ac:dyDescent="0.25">
      <c r="A107" s="423">
        <f t="shared" si="9"/>
        <v>89</v>
      </c>
      <c r="B107" s="408" t="str">
        <f>'[1]Под 6'!A92</f>
        <v>82</v>
      </c>
      <c r="C107" s="425" t="s">
        <v>371</v>
      </c>
      <c r="D107" s="410">
        <v>43.5</v>
      </c>
      <c r="E107" s="399">
        <f t="shared" si="7"/>
        <v>24.392898129038805</v>
      </c>
      <c r="F107" s="398">
        <v>5.05</v>
      </c>
      <c r="G107" s="411">
        <f t="shared" si="8"/>
        <v>123.18413555164597</v>
      </c>
    </row>
    <row r="108" spans="1:7" ht="15" x14ac:dyDescent="0.25">
      <c r="A108" s="423">
        <f t="shared" si="9"/>
        <v>90</v>
      </c>
      <c r="B108" s="408" t="str">
        <f>'[1]Под 6'!A93</f>
        <v>83</v>
      </c>
      <c r="C108" s="413" t="s">
        <v>372</v>
      </c>
      <c r="D108" s="410">
        <v>45</v>
      </c>
      <c r="E108" s="399">
        <f t="shared" si="7"/>
        <v>25.234032547281522</v>
      </c>
      <c r="F108" s="398">
        <v>5.05</v>
      </c>
      <c r="G108" s="411">
        <f t="shared" si="8"/>
        <v>127.43186436377168</v>
      </c>
    </row>
    <row r="109" spans="1:7" ht="15" x14ac:dyDescent="0.25">
      <c r="A109" s="423">
        <f t="shared" si="9"/>
        <v>91</v>
      </c>
      <c r="B109" s="408" t="str">
        <f>'[1]Под 6'!A94</f>
        <v>84</v>
      </c>
      <c r="C109" s="425" t="s">
        <v>373</v>
      </c>
      <c r="D109" s="410">
        <v>107.2</v>
      </c>
      <c r="E109" s="399">
        <f t="shared" si="7"/>
        <v>60.113073090412882</v>
      </c>
      <c r="F109" s="398">
        <v>5.05</v>
      </c>
      <c r="G109" s="411">
        <f t="shared" si="8"/>
        <v>303.57101910658503</v>
      </c>
    </row>
    <row r="110" spans="1:7" ht="15" x14ac:dyDescent="0.25">
      <c r="A110" s="423">
        <f t="shared" si="9"/>
        <v>92</v>
      </c>
      <c r="B110" s="408" t="str">
        <f>'[1]Под 6'!A95</f>
        <v>85</v>
      </c>
      <c r="C110" s="425" t="s">
        <v>374</v>
      </c>
      <c r="D110" s="410">
        <v>54.7</v>
      </c>
      <c r="E110" s="399">
        <f t="shared" si="7"/>
        <v>30.673368451917767</v>
      </c>
      <c r="F110" s="398">
        <v>5.05</v>
      </c>
      <c r="G110" s="411">
        <f t="shared" si="8"/>
        <v>154.90051068218472</v>
      </c>
    </row>
    <row r="111" spans="1:7" ht="15" x14ac:dyDescent="0.25">
      <c r="A111" s="423">
        <f t="shared" si="9"/>
        <v>93</v>
      </c>
      <c r="B111" s="408" t="str">
        <f>'[1]Под 6'!A96</f>
        <v>П/ 86</v>
      </c>
      <c r="C111" s="415" t="s">
        <v>375</v>
      </c>
      <c r="D111" s="410">
        <v>100</v>
      </c>
      <c r="E111" s="399">
        <f t="shared" si="7"/>
        <v>56.075627882847833</v>
      </c>
      <c r="F111" s="398">
        <v>5.05</v>
      </c>
      <c r="G111" s="411">
        <f t="shared" si="8"/>
        <v>283.18192080838156</v>
      </c>
    </row>
    <row r="112" spans="1:7" ht="15" x14ac:dyDescent="0.25">
      <c r="A112" s="423">
        <f t="shared" si="9"/>
        <v>94</v>
      </c>
      <c r="B112" s="408" t="str">
        <f>'[1]Под 6'!A97</f>
        <v>87</v>
      </c>
      <c r="C112" s="426" t="s">
        <v>227</v>
      </c>
      <c r="D112" s="410">
        <v>80.2</v>
      </c>
      <c r="E112" s="399">
        <f t="shared" si="7"/>
        <v>44.972653562043966</v>
      </c>
      <c r="F112" s="398">
        <v>5.05</v>
      </c>
      <c r="G112" s="411">
        <f t="shared" si="8"/>
        <v>227.11190048832202</v>
      </c>
    </row>
    <row r="113" spans="1:7" ht="15" x14ac:dyDescent="0.25">
      <c r="A113" s="423">
        <f t="shared" si="9"/>
        <v>95</v>
      </c>
      <c r="B113" s="408" t="str">
        <f>'[1]Под 6'!A98</f>
        <v>88</v>
      </c>
      <c r="C113" s="426" t="s">
        <v>376</v>
      </c>
      <c r="D113" s="410">
        <v>117.3</v>
      </c>
      <c r="E113" s="399">
        <f t="shared" si="7"/>
        <v>65.776711506580497</v>
      </c>
      <c r="F113" s="398">
        <v>5.05</v>
      </c>
      <c r="G113" s="411">
        <f t="shared" si="8"/>
        <v>332.17239310823152</v>
      </c>
    </row>
    <row r="114" spans="1:7" ht="15" x14ac:dyDescent="0.25">
      <c r="A114" s="423">
        <f t="shared" si="9"/>
        <v>96</v>
      </c>
      <c r="B114" s="408" t="str">
        <f>'[1]Под 6'!A99</f>
        <v>89</v>
      </c>
      <c r="C114" s="425" t="s">
        <v>377</v>
      </c>
      <c r="D114" s="410">
        <f>84.9</f>
        <v>84.9</v>
      </c>
      <c r="E114" s="399">
        <f t="shared" si="7"/>
        <v>47.608208072537813</v>
      </c>
      <c r="F114" s="398">
        <v>5.05</v>
      </c>
      <c r="G114" s="411">
        <f t="shared" si="8"/>
        <v>240.42145076631596</v>
      </c>
    </row>
    <row r="115" spans="1:7" ht="15" x14ac:dyDescent="0.25">
      <c r="A115" s="423">
        <f t="shared" si="9"/>
        <v>97</v>
      </c>
      <c r="B115" s="408" t="str">
        <f>'[1]Под 6'!A100</f>
        <v>Л/ 90</v>
      </c>
      <c r="C115" s="425" t="s">
        <v>378</v>
      </c>
      <c r="D115" s="410">
        <v>82.7</v>
      </c>
      <c r="E115" s="399">
        <f t="shared" si="7"/>
        <v>46.374544259115154</v>
      </c>
      <c r="F115" s="398">
        <v>5.05</v>
      </c>
      <c r="G115" s="411">
        <f t="shared" si="8"/>
        <v>234.19144850853152</v>
      </c>
    </row>
    <row r="116" spans="1:7" ht="15" x14ac:dyDescent="0.25">
      <c r="A116" s="423">
        <f t="shared" si="9"/>
        <v>98</v>
      </c>
      <c r="B116" s="408" t="str">
        <f>'[1]Под 6'!A101</f>
        <v>91</v>
      </c>
      <c r="C116" s="425" t="s">
        <v>379</v>
      </c>
      <c r="D116" s="410">
        <v>44.8</v>
      </c>
      <c r="E116" s="399">
        <f t="shared" si="7"/>
        <v>25.121881291515823</v>
      </c>
      <c r="F116" s="398">
        <v>5.05</v>
      </c>
      <c r="G116" s="411">
        <f t="shared" si="8"/>
        <v>126.8655005221549</v>
      </c>
    </row>
    <row r="117" spans="1:7" ht="15" x14ac:dyDescent="0.25">
      <c r="A117" s="423">
        <f t="shared" si="9"/>
        <v>99</v>
      </c>
      <c r="B117" s="408" t="str">
        <f>'[1]Под 6'!A102</f>
        <v>92/92а</v>
      </c>
      <c r="C117" s="427" t="s">
        <v>380</v>
      </c>
      <c r="D117" s="410">
        <v>163.6</v>
      </c>
      <c r="E117" s="399">
        <f t="shared" si="7"/>
        <v>91.739727216339048</v>
      </c>
      <c r="F117" s="398">
        <v>5.05</v>
      </c>
      <c r="G117" s="411">
        <f t="shared" si="8"/>
        <v>463.28562244251219</v>
      </c>
    </row>
    <row r="118" spans="1:7" ht="15" x14ac:dyDescent="0.25">
      <c r="A118" s="423">
        <f t="shared" si="9"/>
        <v>100</v>
      </c>
      <c r="B118" s="408" t="str">
        <f>'[1]Под 6'!A103</f>
        <v>93</v>
      </c>
      <c r="C118" s="427" t="s">
        <v>381</v>
      </c>
      <c r="D118" s="410">
        <v>54.7</v>
      </c>
      <c r="E118" s="399">
        <f t="shared" si="7"/>
        <v>30.673368451917767</v>
      </c>
      <c r="F118" s="398">
        <v>5.05</v>
      </c>
      <c r="G118" s="411">
        <f t="shared" si="8"/>
        <v>154.90051068218472</v>
      </c>
    </row>
    <row r="119" spans="1:7" ht="15" x14ac:dyDescent="0.25">
      <c r="A119" s="423">
        <f t="shared" si="9"/>
        <v>101</v>
      </c>
      <c r="B119" s="408" t="str">
        <f>'[1]Под 6'!A104</f>
        <v>П/94</v>
      </c>
      <c r="C119" s="415" t="s">
        <v>382</v>
      </c>
      <c r="D119" s="410">
        <v>100.8</v>
      </c>
      <c r="E119" s="399">
        <f t="shared" si="7"/>
        <v>56.524232905910615</v>
      </c>
      <c r="F119" s="398">
        <v>5.05</v>
      </c>
      <c r="G119" s="411">
        <f t="shared" si="8"/>
        <v>285.44737617484861</v>
      </c>
    </row>
    <row r="120" spans="1:7" ht="15" x14ac:dyDescent="0.25">
      <c r="A120" s="423">
        <f t="shared" si="9"/>
        <v>102</v>
      </c>
      <c r="B120" s="408" t="str">
        <f>'[1]Под 6'!A105</f>
        <v>95</v>
      </c>
      <c r="C120" s="415" t="s">
        <v>383</v>
      </c>
      <c r="D120" s="410">
        <v>79.7</v>
      </c>
      <c r="E120" s="399">
        <f t="shared" si="7"/>
        <v>44.69227542262972</v>
      </c>
      <c r="F120" s="398">
        <v>5.05</v>
      </c>
      <c r="G120" s="411">
        <f t="shared" si="8"/>
        <v>225.69599088428006</v>
      </c>
    </row>
    <row r="121" spans="1:7" ht="15" x14ac:dyDescent="0.25">
      <c r="A121" s="423">
        <f t="shared" si="9"/>
        <v>103</v>
      </c>
      <c r="B121" s="408" t="str">
        <f>'[1]Под 6'!A106</f>
        <v>96</v>
      </c>
      <c r="C121" s="415" t="s">
        <v>262</v>
      </c>
      <c r="D121" s="410">
        <v>117.9</v>
      </c>
      <c r="E121" s="399">
        <f t="shared" si="7"/>
        <v>66.113165273877598</v>
      </c>
      <c r="F121" s="398">
        <v>5.05</v>
      </c>
      <c r="G121" s="411">
        <f t="shared" si="8"/>
        <v>333.87148463308188</v>
      </c>
    </row>
    <row r="122" spans="1:7" ht="15" x14ac:dyDescent="0.25">
      <c r="A122" s="423">
        <f t="shared" si="9"/>
        <v>104</v>
      </c>
      <c r="B122" s="408" t="str">
        <f>'[1]Под 6'!A107</f>
        <v>97</v>
      </c>
      <c r="C122" s="427" t="s">
        <v>384</v>
      </c>
      <c r="D122" s="410">
        <v>85</v>
      </c>
      <c r="E122" s="399">
        <f t="shared" ref="E122:E153" si="10">$E$4*D122/$A$5</f>
        <v>47.664283700420661</v>
      </c>
      <c r="F122" s="398">
        <v>5.05</v>
      </c>
      <c r="G122" s="411">
        <f t="shared" si="8"/>
        <v>240.70463268712433</v>
      </c>
    </row>
    <row r="123" spans="1:7" ht="15" x14ac:dyDescent="0.25">
      <c r="A123" s="423">
        <f t="shared" si="9"/>
        <v>105</v>
      </c>
      <c r="B123" s="408" t="str">
        <f>'[1]Под 6'!A108</f>
        <v>Л/ 98</v>
      </c>
      <c r="C123" s="415" t="s">
        <v>385</v>
      </c>
      <c r="D123" s="410">
        <v>82.7</v>
      </c>
      <c r="E123" s="399">
        <f t="shared" si="10"/>
        <v>46.374544259115154</v>
      </c>
      <c r="F123" s="398">
        <v>5.05</v>
      </c>
      <c r="G123" s="411">
        <f t="shared" si="8"/>
        <v>234.19144850853152</v>
      </c>
    </row>
    <row r="124" spans="1:7" ht="15" x14ac:dyDescent="0.25">
      <c r="A124" s="423">
        <f t="shared" si="9"/>
        <v>106</v>
      </c>
      <c r="B124" s="408" t="str">
        <f>'[1]Под 6'!A109</f>
        <v>99</v>
      </c>
      <c r="C124" s="425" t="s">
        <v>386</v>
      </c>
      <c r="D124" s="410">
        <v>44.6</v>
      </c>
      <c r="E124" s="399">
        <f t="shared" si="10"/>
        <v>25.009730035750131</v>
      </c>
      <c r="F124" s="398">
        <v>5.05</v>
      </c>
      <c r="G124" s="411">
        <f t="shared" si="8"/>
        <v>126.29913668053815</v>
      </c>
    </row>
    <row r="125" spans="1:7" ht="15" x14ac:dyDescent="0.25">
      <c r="A125" s="423">
        <f t="shared" si="9"/>
        <v>107</v>
      </c>
      <c r="B125" s="408" t="str">
        <f>'[1]Под 6'!A110</f>
        <v>100</v>
      </c>
      <c r="C125" s="428" t="s">
        <v>387</v>
      </c>
      <c r="D125" s="410">
        <v>46.5</v>
      </c>
      <c r="E125" s="399">
        <f t="shared" si="10"/>
        <v>26.07516696552424</v>
      </c>
      <c r="F125" s="398">
        <v>5.05</v>
      </c>
      <c r="G125" s="411">
        <f t="shared" si="8"/>
        <v>131.67959317589739</v>
      </c>
    </row>
    <row r="126" spans="1:7" ht="15" x14ac:dyDescent="0.25">
      <c r="A126" s="423">
        <f t="shared" si="9"/>
        <v>108</v>
      </c>
      <c r="B126" s="408" t="str">
        <f>'[1]Под 6'!A116</f>
        <v>101</v>
      </c>
      <c r="C126" s="396" t="s">
        <v>388</v>
      </c>
      <c r="D126" s="410">
        <f>107.8</f>
        <v>107.8</v>
      </c>
      <c r="E126" s="399">
        <f t="shared" si="10"/>
        <v>60.449526857709962</v>
      </c>
      <c r="F126" s="398">
        <v>5.05</v>
      </c>
      <c r="G126" s="411">
        <f t="shared" si="8"/>
        <v>305.27011063143527</v>
      </c>
    </row>
    <row r="127" spans="1:7" ht="15" x14ac:dyDescent="0.25">
      <c r="A127" s="423">
        <f t="shared" si="9"/>
        <v>109</v>
      </c>
      <c r="B127" s="408" t="str">
        <f>'[1]Под 6'!A117</f>
        <v>102</v>
      </c>
      <c r="C127" s="413" t="s">
        <v>389</v>
      </c>
      <c r="D127" s="410">
        <v>56.3</v>
      </c>
      <c r="E127" s="399">
        <f t="shared" si="10"/>
        <v>31.570578498043325</v>
      </c>
      <c r="F127" s="398">
        <v>5.05</v>
      </c>
      <c r="G127" s="411">
        <f t="shared" si="8"/>
        <v>159.43142141511879</v>
      </c>
    </row>
    <row r="128" spans="1:7" ht="15" x14ac:dyDescent="0.25">
      <c r="A128" s="423">
        <f t="shared" si="9"/>
        <v>110</v>
      </c>
      <c r="B128" s="408" t="str">
        <f>'[1]Под 6'!A118</f>
        <v>П/103</v>
      </c>
      <c r="C128" s="414" t="s">
        <v>390</v>
      </c>
      <c r="D128" s="410">
        <v>114.8</v>
      </c>
      <c r="E128" s="399">
        <f t="shared" si="10"/>
        <v>64.374820809509302</v>
      </c>
      <c r="F128" s="398">
        <v>5.05</v>
      </c>
      <c r="G128" s="411">
        <f t="shared" si="8"/>
        <v>325.09284508802199</v>
      </c>
    </row>
    <row r="129" spans="1:7" ht="15" x14ac:dyDescent="0.25">
      <c r="A129" s="423">
        <f t="shared" si="9"/>
        <v>111</v>
      </c>
      <c r="B129" s="408" t="str">
        <f>'[1]Под 6'!A119</f>
        <v>104</v>
      </c>
      <c r="C129" s="415" t="s">
        <v>391</v>
      </c>
      <c r="D129" s="410">
        <v>79.599999999999994</v>
      </c>
      <c r="E129" s="399">
        <f t="shared" si="10"/>
        <v>44.636199794746872</v>
      </c>
      <c r="F129" s="398">
        <v>5.05</v>
      </c>
      <c r="G129" s="411">
        <f t="shared" si="8"/>
        <v>225.41280896347169</v>
      </c>
    </row>
    <row r="130" spans="1:7" ht="15" x14ac:dyDescent="0.25">
      <c r="A130" s="423">
        <f t="shared" si="9"/>
        <v>112</v>
      </c>
      <c r="B130" s="408" t="str">
        <f>'[1]Под 6'!A120</f>
        <v>105</v>
      </c>
      <c r="C130" s="415" t="s">
        <v>392</v>
      </c>
      <c r="D130" s="410">
        <v>117.9</v>
      </c>
      <c r="E130" s="399">
        <f t="shared" si="10"/>
        <v>66.113165273877598</v>
      </c>
      <c r="F130" s="398">
        <v>5.05</v>
      </c>
      <c r="G130" s="411">
        <f t="shared" si="8"/>
        <v>333.87148463308188</v>
      </c>
    </row>
    <row r="131" spans="1:7" ht="15" x14ac:dyDescent="0.25">
      <c r="A131" s="423">
        <f t="shared" si="9"/>
        <v>113</v>
      </c>
      <c r="B131" s="408" t="str">
        <f>'[1]Под 6'!A121</f>
        <v>106</v>
      </c>
      <c r="C131" s="415" t="s">
        <v>393</v>
      </c>
      <c r="D131" s="410">
        <v>84.5</v>
      </c>
      <c r="E131" s="399">
        <f t="shared" si="10"/>
        <v>47.383905561006415</v>
      </c>
      <c r="F131" s="398">
        <v>5.05</v>
      </c>
      <c r="G131" s="411">
        <f t="shared" si="8"/>
        <v>239.28872308308237</v>
      </c>
    </row>
    <row r="132" spans="1:7" ht="15" x14ac:dyDescent="0.25">
      <c r="A132" s="423">
        <f t="shared" si="9"/>
        <v>114</v>
      </c>
      <c r="B132" s="408" t="str">
        <f>'[1]Под 6'!A122</f>
        <v>Л/107</v>
      </c>
      <c r="C132" s="422" t="s">
        <v>394</v>
      </c>
      <c r="D132" s="410">
        <v>82.1</v>
      </c>
      <c r="E132" s="399">
        <f t="shared" si="10"/>
        <v>46.038090491818068</v>
      </c>
      <c r="F132" s="398">
        <v>5.05</v>
      </c>
      <c r="G132" s="411">
        <f t="shared" si="8"/>
        <v>232.49235698368122</v>
      </c>
    </row>
    <row r="133" spans="1:7" ht="15" x14ac:dyDescent="0.25">
      <c r="A133" s="423">
        <f t="shared" si="9"/>
        <v>115</v>
      </c>
      <c r="B133" s="408" t="str">
        <f>'[1]Под 6'!A123</f>
        <v>108</v>
      </c>
      <c r="C133" s="415" t="s">
        <v>395</v>
      </c>
      <c r="D133" s="410">
        <v>44.3</v>
      </c>
      <c r="E133" s="399">
        <f t="shared" si="10"/>
        <v>24.841503152101588</v>
      </c>
      <c r="F133" s="398">
        <v>5.05</v>
      </c>
      <c r="G133" s="411">
        <f t="shared" si="8"/>
        <v>125.44959091811302</v>
      </c>
    </row>
    <row r="134" spans="1:7" ht="15" x14ac:dyDescent="0.25">
      <c r="A134" s="423">
        <f t="shared" si="9"/>
        <v>116</v>
      </c>
      <c r="B134" s="408" t="str">
        <f>'[1]Под 6'!A124</f>
        <v xml:space="preserve">109                          </v>
      </c>
      <c r="C134" s="414" t="s">
        <v>396</v>
      </c>
      <c r="D134" s="410">
        <v>45.3</v>
      </c>
      <c r="E134" s="399">
        <f t="shared" si="10"/>
        <v>25.402259430930066</v>
      </c>
      <c r="F134" s="398">
        <v>5.05</v>
      </c>
      <c r="G134" s="411">
        <f t="shared" si="8"/>
        <v>128.28141012619682</v>
      </c>
    </row>
    <row r="135" spans="1:7" ht="15" x14ac:dyDescent="0.25">
      <c r="A135" s="423">
        <f t="shared" si="9"/>
        <v>117</v>
      </c>
      <c r="B135" s="408" t="str">
        <f>'[1]Под 6'!A125</f>
        <v>110</v>
      </c>
      <c r="C135" s="414" t="s">
        <v>397</v>
      </c>
      <c r="D135" s="410">
        <v>106</v>
      </c>
      <c r="E135" s="399">
        <f t="shared" si="10"/>
        <v>59.440165555818702</v>
      </c>
      <c r="F135" s="398">
        <v>5.05</v>
      </c>
      <c r="G135" s="411">
        <f t="shared" si="8"/>
        <v>300.17283605688442</v>
      </c>
    </row>
    <row r="136" spans="1:7" ht="15" x14ac:dyDescent="0.25">
      <c r="A136" s="423">
        <f t="shared" si="9"/>
        <v>118</v>
      </c>
      <c r="B136" s="408" t="str">
        <f>'[1]Под 6'!A126</f>
        <v>111</v>
      </c>
      <c r="C136" s="415" t="s">
        <v>398</v>
      </c>
      <c r="D136" s="410">
        <v>55.6</v>
      </c>
      <c r="E136" s="399">
        <f t="shared" si="10"/>
        <v>31.178049102863394</v>
      </c>
      <c r="F136" s="398">
        <v>5.05</v>
      </c>
      <c r="G136" s="411">
        <f t="shared" si="8"/>
        <v>157.44914796946014</v>
      </c>
    </row>
    <row r="137" spans="1:7" ht="15" x14ac:dyDescent="0.25">
      <c r="A137" s="423">
        <f t="shared" si="9"/>
        <v>119</v>
      </c>
      <c r="B137" s="408" t="str">
        <f>'[1]Под 6'!A127</f>
        <v>П/112</v>
      </c>
      <c r="C137" s="415" t="s">
        <v>399</v>
      </c>
      <c r="D137" s="410">
        <v>100.4</v>
      </c>
      <c r="E137" s="399">
        <f t="shared" si="10"/>
        <v>56.299930394379224</v>
      </c>
      <c r="F137" s="398">
        <v>5.05</v>
      </c>
      <c r="G137" s="411">
        <f t="shared" si="8"/>
        <v>284.31464849161506</v>
      </c>
    </row>
    <row r="138" spans="1:7" ht="15" x14ac:dyDescent="0.25">
      <c r="A138" s="423">
        <f t="shared" si="9"/>
        <v>120</v>
      </c>
      <c r="B138" s="408" t="str">
        <f>'[1]Под 6'!A128</f>
        <v>113</v>
      </c>
      <c r="C138" s="415" t="s">
        <v>400</v>
      </c>
      <c r="D138" s="410">
        <v>79.5</v>
      </c>
      <c r="E138" s="399">
        <f t="shared" si="10"/>
        <v>44.580124166864024</v>
      </c>
      <c r="F138" s="398">
        <v>5.05</v>
      </c>
      <c r="G138" s="411">
        <f t="shared" si="8"/>
        <v>225.12962704266332</v>
      </c>
    </row>
    <row r="139" spans="1:7" ht="15" x14ac:dyDescent="0.25">
      <c r="A139" s="423">
        <f t="shared" si="9"/>
        <v>121</v>
      </c>
      <c r="B139" s="408" t="str">
        <f>'[1]Под 6'!A129</f>
        <v>114</v>
      </c>
      <c r="C139" s="396" t="s">
        <v>401</v>
      </c>
      <c r="D139" s="410">
        <v>115.8</v>
      </c>
      <c r="E139" s="399">
        <f t="shared" si="10"/>
        <v>64.93557708833778</v>
      </c>
      <c r="F139" s="398">
        <v>5.05</v>
      </c>
      <c r="G139" s="411">
        <f t="shared" si="8"/>
        <v>327.92466429610579</v>
      </c>
    </row>
    <row r="140" spans="1:7" ht="15" x14ac:dyDescent="0.25">
      <c r="A140" s="423">
        <f t="shared" si="9"/>
        <v>122</v>
      </c>
      <c r="B140" s="408" t="str">
        <f>'[1]Под 6'!A130</f>
        <v>115</v>
      </c>
      <c r="C140" s="396" t="s">
        <v>402</v>
      </c>
      <c r="D140" s="410">
        <v>84.1</v>
      </c>
      <c r="E140" s="399">
        <f t="shared" si="10"/>
        <v>47.159603049475024</v>
      </c>
      <c r="F140" s="398">
        <v>5.05</v>
      </c>
      <c r="G140" s="411">
        <f t="shared" si="8"/>
        <v>238.15599539984885</v>
      </c>
    </row>
    <row r="141" spans="1:7" ht="15" x14ac:dyDescent="0.25">
      <c r="A141" s="423">
        <f t="shared" si="9"/>
        <v>123</v>
      </c>
      <c r="B141" s="408" t="str">
        <f>'[1]Под 6'!A131</f>
        <v>Л/116</v>
      </c>
      <c r="C141" s="396" t="s">
        <v>403</v>
      </c>
      <c r="D141" s="410">
        <v>82.5</v>
      </c>
      <c r="E141" s="399">
        <f t="shared" si="10"/>
        <v>46.262393003349459</v>
      </c>
      <c r="F141" s="398">
        <v>5.05</v>
      </c>
      <c r="G141" s="411">
        <f t="shared" si="8"/>
        <v>233.62508466691474</v>
      </c>
    </row>
    <row r="142" spans="1:7" ht="15" x14ac:dyDescent="0.25">
      <c r="A142" s="423">
        <f t="shared" si="9"/>
        <v>124</v>
      </c>
      <c r="B142" s="408" t="str">
        <f>'[1]Под 6'!A132</f>
        <v>117</v>
      </c>
      <c r="C142" s="396" t="s">
        <v>404</v>
      </c>
      <c r="D142" s="410">
        <v>44.4</v>
      </c>
      <c r="E142" s="399">
        <f t="shared" si="10"/>
        <v>24.897578779984439</v>
      </c>
      <c r="F142" s="398">
        <v>5.05</v>
      </c>
      <c r="G142" s="411">
        <f t="shared" si="8"/>
        <v>125.73277283892141</v>
      </c>
    </row>
    <row r="143" spans="1:7" ht="15" x14ac:dyDescent="0.25">
      <c r="A143" s="423">
        <f t="shared" si="9"/>
        <v>125</v>
      </c>
      <c r="B143" s="408" t="str">
        <f>'[1]Под 6'!A133</f>
        <v>118</v>
      </c>
      <c r="C143" s="396" t="s">
        <v>405</v>
      </c>
      <c r="D143" s="410">
        <v>45.5</v>
      </c>
      <c r="E143" s="399">
        <f t="shared" si="10"/>
        <v>25.514410686695765</v>
      </c>
      <c r="F143" s="398">
        <v>5.05</v>
      </c>
      <c r="G143" s="411">
        <f t="shared" si="8"/>
        <v>128.84777396781359</v>
      </c>
    </row>
    <row r="144" spans="1:7" ht="15" x14ac:dyDescent="0.25">
      <c r="A144" s="423">
        <f t="shared" si="9"/>
        <v>126</v>
      </c>
      <c r="B144" s="408" t="str">
        <f>'[1]Под 6'!A134</f>
        <v>119</v>
      </c>
      <c r="C144" s="396" t="s">
        <v>406</v>
      </c>
      <c r="D144" s="410">
        <v>107.4</v>
      </c>
      <c r="E144" s="399">
        <f t="shared" si="10"/>
        <v>60.225224346178578</v>
      </c>
      <c r="F144" s="398">
        <v>5.05</v>
      </c>
      <c r="G144" s="411">
        <f t="shared" si="8"/>
        <v>304.13738294820183</v>
      </c>
    </row>
    <row r="145" spans="1:7" ht="15" x14ac:dyDescent="0.25">
      <c r="A145" s="423">
        <f t="shared" si="9"/>
        <v>127</v>
      </c>
      <c r="B145" s="408" t="str">
        <f>'[1]Под 6'!A135</f>
        <v>120</v>
      </c>
      <c r="C145" s="396" t="s">
        <v>407</v>
      </c>
      <c r="D145" s="410">
        <v>53.2</v>
      </c>
      <c r="E145" s="399">
        <f t="shared" si="10"/>
        <v>29.83223403367505</v>
      </c>
      <c r="F145" s="398">
        <v>5.05</v>
      </c>
      <c r="G145" s="411">
        <f t="shared" si="8"/>
        <v>150.65278187005899</v>
      </c>
    </row>
    <row r="146" spans="1:7" ht="15" x14ac:dyDescent="0.25">
      <c r="A146" s="423">
        <f t="shared" si="9"/>
        <v>128</v>
      </c>
      <c r="B146" s="408" t="str">
        <f>'[1]Под 6'!A136</f>
        <v>П/121</v>
      </c>
      <c r="C146" s="396" t="s">
        <v>408</v>
      </c>
      <c r="D146" s="410">
        <v>100</v>
      </c>
      <c r="E146" s="399">
        <f t="shared" si="10"/>
        <v>56.075627882847833</v>
      </c>
      <c r="F146" s="398">
        <v>5.05</v>
      </c>
      <c r="G146" s="411">
        <f t="shared" si="8"/>
        <v>283.18192080838156</v>
      </c>
    </row>
    <row r="147" spans="1:7" ht="15" x14ac:dyDescent="0.25">
      <c r="A147" s="423">
        <f t="shared" si="9"/>
        <v>129</v>
      </c>
      <c r="B147" s="408" t="str">
        <f>'[1]Под 6'!A137</f>
        <v>122</v>
      </c>
      <c r="C147" s="396" t="s">
        <v>409</v>
      </c>
      <c r="D147" s="410">
        <v>90.7</v>
      </c>
      <c r="E147" s="399">
        <f t="shared" si="10"/>
        <v>50.860594489742986</v>
      </c>
      <c r="F147" s="398">
        <v>5.05</v>
      </c>
      <c r="G147" s="411">
        <f t="shared" si="8"/>
        <v>256.84600217320207</v>
      </c>
    </row>
    <row r="148" spans="1:7" ht="15" x14ac:dyDescent="0.25">
      <c r="A148" s="423">
        <f t="shared" si="9"/>
        <v>130</v>
      </c>
      <c r="B148" s="408" t="str">
        <f>'[1]Под 6'!A138</f>
        <v>123</v>
      </c>
      <c r="C148" s="413" t="s">
        <v>410</v>
      </c>
      <c r="D148" s="410">
        <v>116.6</v>
      </c>
      <c r="E148" s="399">
        <f t="shared" si="10"/>
        <v>65.384182111400577</v>
      </c>
      <c r="F148" s="398">
        <v>5.05</v>
      </c>
      <c r="G148" s="411">
        <f t="shared" si="8"/>
        <v>330.1901196625729</v>
      </c>
    </row>
    <row r="149" spans="1:7" ht="15" x14ac:dyDescent="0.25">
      <c r="A149" s="423">
        <f t="shared" si="9"/>
        <v>131</v>
      </c>
      <c r="B149" s="408" t="str">
        <f>'[1]Под 6'!A139</f>
        <v>124</v>
      </c>
      <c r="C149" s="414" t="s">
        <v>411</v>
      </c>
      <c r="D149" s="410">
        <v>84.2</v>
      </c>
      <c r="E149" s="399">
        <f t="shared" si="10"/>
        <v>47.215678677357872</v>
      </c>
      <c r="F149" s="398">
        <v>5.05</v>
      </c>
      <c r="G149" s="411">
        <f t="shared" si="8"/>
        <v>238.43917732065725</v>
      </c>
    </row>
    <row r="150" spans="1:7" ht="15" x14ac:dyDescent="0.25">
      <c r="A150" s="423">
        <f t="shared" si="9"/>
        <v>132</v>
      </c>
      <c r="B150" s="408" t="str">
        <f>'[1]Под 6'!A140</f>
        <v>Л/125</v>
      </c>
      <c r="C150" s="415" t="s">
        <v>412</v>
      </c>
      <c r="D150" s="410">
        <f>81.7</f>
        <v>81.7</v>
      </c>
      <c r="E150" s="399">
        <f t="shared" si="10"/>
        <v>45.813787980286683</v>
      </c>
      <c r="F150" s="398">
        <v>5.05</v>
      </c>
      <c r="G150" s="411">
        <f t="shared" si="8"/>
        <v>231.35962930044775</v>
      </c>
    </row>
    <row r="151" spans="1:7" ht="15" x14ac:dyDescent="0.25">
      <c r="A151" s="423">
        <f t="shared" si="9"/>
        <v>133</v>
      </c>
      <c r="B151" s="408" t="str">
        <f>'[1]Под 6'!A141</f>
        <v>126</v>
      </c>
      <c r="C151" s="415" t="s">
        <v>413</v>
      </c>
      <c r="D151" s="410">
        <v>44.5</v>
      </c>
      <c r="E151" s="399">
        <f t="shared" si="10"/>
        <v>24.953654407867283</v>
      </c>
      <c r="F151" s="398">
        <v>5.05</v>
      </c>
      <c r="G151" s="411">
        <f t="shared" si="8"/>
        <v>126.01595475972978</v>
      </c>
    </row>
    <row r="152" spans="1:7" ht="15" x14ac:dyDescent="0.25">
      <c r="A152" s="423">
        <f t="shared" si="9"/>
        <v>134</v>
      </c>
      <c r="B152" s="408" t="str">
        <f>'[1]Под 6'!A142</f>
        <v>127</v>
      </c>
      <c r="C152" s="415" t="s">
        <v>414</v>
      </c>
      <c r="D152" s="410">
        <v>46</v>
      </c>
      <c r="E152" s="399">
        <f t="shared" si="10"/>
        <v>25.794788826110004</v>
      </c>
      <c r="F152" s="398">
        <v>5.05</v>
      </c>
      <c r="G152" s="411">
        <f t="shared" si="8"/>
        <v>130.26368357185552</v>
      </c>
    </row>
    <row r="153" spans="1:7" ht="15" x14ac:dyDescent="0.25">
      <c r="A153" s="423">
        <f t="shared" si="9"/>
        <v>135</v>
      </c>
      <c r="B153" s="408" t="str">
        <f>'[1]Под 6'!A143</f>
        <v>128</v>
      </c>
      <c r="C153" s="422" t="s">
        <v>415</v>
      </c>
      <c r="D153" s="410">
        <f>107.7</f>
        <v>107.7</v>
      </c>
      <c r="E153" s="399">
        <f t="shared" si="10"/>
        <v>60.393451229827107</v>
      </c>
      <c r="F153" s="398">
        <v>5.05</v>
      </c>
      <c r="G153" s="411">
        <f t="shared" si="8"/>
        <v>304.9869287106269</v>
      </c>
    </row>
    <row r="154" spans="1:7" ht="15" x14ac:dyDescent="0.25">
      <c r="A154" s="423">
        <f t="shared" si="9"/>
        <v>136</v>
      </c>
      <c r="B154" s="408" t="str">
        <f>'[1]Под 6'!A144</f>
        <v>129</v>
      </c>
      <c r="C154" s="415" t="s">
        <v>416</v>
      </c>
      <c r="D154" s="410">
        <v>54.1</v>
      </c>
      <c r="E154" s="399">
        <f t="shared" ref="E154:E185" si="11">$E$4*D154/$A$5</f>
        <v>30.336914684620677</v>
      </c>
      <c r="F154" s="398">
        <v>5.05</v>
      </c>
      <c r="G154" s="411">
        <f t="shared" si="8"/>
        <v>153.20141915733441</v>
      </c>
    </row>
    <row r="155" spans="1:7" ht="15" x14ac:dyDescent="0.25">
      <c r="A155" s="423">
        <f t="shared" si="9"/>
        <v>137</v>
      </c>
      <c r="B155" s="408" t="str">
        <f>'[1]Под 6'!A145</f>
        <v>П/130</v>
      </c>
      <c r="C155" s="414" t="s">
        <v>417</v>
      </c>
      <c r="D155" s="410">
        <v>102</v>
      </c>
      <c r="E155" s="399">
        <f t="shared" si="11"/>
        <v>57.197140440504782</v>
      </c>
      <c r="F155" s="398">
        <v>5.05</v>
      </c>
      <c r="G155" s="411">
        <f t="shared" ref="G155:G218" si="12">E155*F155</f>
        <v>288.84555922454916</v>
      </c>
    </row>
    <row r="156" spans="1:7" ht="15" x14ac:dyDescent="0.25">
      <c r="A156" s="423">
        <f t="shared" si="9"/>
        <v>138</v>
      </c>
      <c r="B156" s="408" t="str">
        <f>'[1]Под 6'!A146</f>
        <v>131</v>
      </c>
      <c r="C156" s="414" t="s">
        <v>418</v>
      </c>
      <c r="D156" s="410">
        <v>79.2</v>
      </c>
      <c r="E156" s="399">
        <f t="shared" si="11"/>
        <v>44.411897283215481</v>
      </c>
      <c r="F156" s="398">
        <v>5.05</v>
      </c>
      <c r="G156" s="411">
        <f t="shared" si="12"/>
        <v>224.28008128023816</v>
      </c>
    </row>
    <row r="157" spans="1:7" ht="15" x14ac:dyDescent="0.25">
      <c r="A157" s="423">
        <f t="shared" si="9"/>
        <v>139</v>
      </c>
      <c r="B157" s="408" t="str">
        <f>'[1]Под 6'!A147</f>
        <v>132</v>
      </c>
      <c r="C157" s="415" t="s">
        <v>419</v>
      </c>
      <c r="D157" s="410">
        <v>116.8</v>
      </c>
      <c r="E157" s="399">
        <f t="shared" si="11"/>
        <v>65.496333367166272</v>
      </c>
      <c r="F157" s="398">
        <v>5.05</v>
      </c>
      <c r="G157" s="411">
        <f t="shared" si="12"/>
        <v>330.75648350418965</v>
      </c>
    </row>
    <row r="158" spans="1:7" ht="15" x14ac:dyDescent="0.25">
      <c r="A158" s="423">
        <f t="shared" ref="A158:A221" si="13">A157+1</f>
        <v>140</v>
      </c>
      <c r="B158" s="408" t="str">
        <f>'[1]Под 6'!A148</f>
        <v>133</v>
      </c>
      <c r="C158" s="415" t="s">
        <v>420</v>
      </c>
      <c r="D158" s="410">
        <v>83.7</v>
      </c>
      <c r="E158" s="399">
        <f t="shared" si="11"/>
        <v>46.935300537943633</v>
      </c>
      <c r="F158" s="398">
        <v>5.05</v>
      </c>
      <c r="G158" s="411">
        <f t="shared" si="12"/>
        <v>237.02326771661532</v>
      </c>
    </row>
    <row r="159" spans="1:7" ht="15" x14ac:dyDescent="0.25">
      <c r="A159" s="423">
        <f t="shared" si="13"/>
        <v>141</v>
      </c>
      <c r="B159" s="408" t="str">
        <f>'[1]Под 6'!A149</f>
        <v>Л/134</v>
      </c>
      <c r="C159" s="415" t="s">
        <v>421</v>
      </c>
      <c r="D159" s="410">
        <v>81.7</v>
      </c>
      <c r="E159" s="399">
        <f t="shared" si="11"/>
        <v>45.813787980286683</v>
      </c>
      <c r="F159" s="398">
        <v>5.05</v>
      </c>
      <c r="G159" s="411">
        <f t="shared" si="12"/>
        <v>231.35962930044775</v>
      </c>
    </row>
    <row r="160" spans="1:7" ht="15" x14ac:dyDescent="0.25">
      <c r="A160" s="423">
        <f t="shared" si="13"/>
        <v>142</v>
      </c>
      <c r="B160" s="408" t="str">
        <f>'[1]Под 6'!A150</f>
        <v>135</v>
      </c>
      <c r="C160" s="396" t="s">
        <v>422</v>
      </c>
      <c r="D160" s="410">
        <v>44.7</v>
      </c>
      <c r="E160" s="399">
        <f t="shared" si="11"/>
        <v>25.065805663632979</v>
      </c>
      <c r="F160" s="398">
        <v>5.05</v>
      </c>
      <c r="G160" s="411">
        <f t="shared" si="12"/>
        <v>126.58231860134654</v>
      </c>
    </row>
    <row r="161" spans="1:7" ht="15" x14ac:dyDescent="0.25">
      <c r="A161" s="423">
        <f t="shared" si="13"/>
        <v>143</v>
      </c>
      <c r="B161" s="408" t="str">
        <f>'[1]Под 6'!A151</f>
        <v>136</v>
      </c>
      <c r="C161" s="396" t="s">
        <v>423</v>
      </c>
      <c r="D161" s="410">
        <v>46.2</v>
      </c>
      <c r="E161" s="399">
        <f t="shared" si="11"/>
        <v>25.906940081875696</v>
      </c>
      <c r="F161" s="398">
        <v>5.05</v>
      </c>
      <c r="G161" s="411">
        <f t="shared" si="12"/>
        <v>130.83004741347227</v>
      </c>
    </row>
    <row r="162" spans="1:7" ht="15" x14ac:dyDescent="0.25">
      <c r="A162" s="423">
        <f t="shared" si="13"/>
        <v>144</v>
      </c>
      <c r="B162" s="408" t="str">
        <f>'[1]Под 6'!A152</f>
        <v>137</v>
      </c>
      <c r="C162" s="396" t="s">
        <v>424</v>
      </c>
      <c r="D162" s="410">
        <v>107.1</v>
      </c>
      <c r="E162" s="399">
        <f t="shared" si="11"/>
        <v>60.056997462530028</v>
      </c>
      <c r="F162" s="398">
        <v>5.05</v>
      </c>
      <c r="G162" s="411">
        <f t="shared" si="12"/>
        <v>303.28783718577665</v>
      </c>
    </row>
    <row r="163" spans="1:7" ht="15" x14ac:dyDescent="0.25">
      <c r="A163" s="423">
        <f t="shared" si="13"/>
        <v>145</v>
      </c>
      <c r="B163" s="408" t="str">
        <f>'[1]Под 6'!A153</f>
        <v>138</v>
      </c>
      <c r="C163" s="396" t="s">
        <v>425</v>
      </c>
      <c r="D163" s="410">
        <v>53.2</v>
      </c>
      <c r="E163" s="399">
        <f t="shared" si="11"/>
        <v>29.83223403367505</v>
      </c>
      <c r="F163" s="398">
        <v>5.05</v>
      </c>
      <c r="G163" s="411">
        <f t="shared" si="12"/>
        <v>150.65278187005899</v>
      </c>
    </row>
    <row r="164" spans="1:7" ht="15" x14ac:dyDescent="0.25">
      <c r="A164" s="423">
        <f t="shared" si="13"/>
        <v>146</v>
      </c>
      <c r="B164" s="408" t="str">
        <f>'[1]Под 6'!A154</f>
        <v>П/139</v>
      </c>
      <c r="C164" s="396" t="s">
        <v>426</v>
      </c>
      <c r="D164" s="410">
        <v>116</v>
      </c>
      <c r="E164" s="399">
        <f t="shared" si="11"/>
        <v>65.04772834410349</v>
      </c>
      <c r="F164" s="398">
        <v>5.05</v>
      </c>
      <c r="G164" s="411">
        <f t="shared" si="12"/>
        <v>328.49102813772259</v>
      </c>
    </row>
    <row r="165" spans="1:7" ht="15" x14ac:dyDescent="0.25">
      <c r="A165" s="423">
        <f t="shared" si="13"/>
        <v>147</v>
      </c>
      <c r="B165" s="408" t="str">
        <f>'[1]Под 6'!A155</f>
        <v>140</v>
      </c>
      <c r="C165" s="396" t="s">
        <v>427</v>
      </c>
      <c r="D165" s="410">
        <v>90.4</v>
      </c>
      <c r="E165" s="399">
        <f t="shared" si="11"/>
        <v>50.692367606094443</v>
      </c>
      <c r="F165" s="398">
        <v>5.05</v>
      </c>
      <c r="G165" s="411">
        <f t="shared" si="12"/>
        <v>255.99645641077691</v>
      </c>
    </row>
    <row r="166" spans="1:7" ht="15" x14ac:dyDescent="0.25">
      <c r="A166" s="423">
        <f t="shared" si="13"/>
        <v>148</v>
      </c>
      <c r="B166" s="408" t="str">
        <f>'[1]Под 6'!A156</f>
        <v>141</v>
      </c>
      <c r="C166" s="396" t="s">
        <v>428</v>
      </c>
      <c r="D166" s="410">
        <v>119.7</v>
      </c>
      <c r="E166" s="399">
        <f t="shared" si="11"/>
        <v>67.122526575768859</v>
      </c>
      <c r="F166" s="398">
        <v>5.05</v>
      </c>
      <c r="G166" s="411">
        <f t="shared" si="12"/>
        <v>338.96875920763273</v>
      </c>
    </row>
    <row r="167" spans="1:7" ht="15" x14ac:dyDescent="0.25">
      <c r="A167" s="423">
        <f t="shared" si="13"/>
        <v>149</v>
      </c>
      <c r="B167" s="408" t="str">
        <f>'[1]Под 6'!A157</f>
        <v>142</v>
      </c>
      <c r="C167" s="396" t="s">
        <v>429</v>
      </c>
      <c r="D167" s="410">
        <f>85</f>
        <v>85</v>
      </c>
      <c r="E167" s="399">
        <f t="shared" si="11"/>
        <v>47.664283700420661</v>
      </c>
      <c r="F167" s="398">
        <v>5.05</v>
      </c>
      <c r="G167" s="411">
        <f t="shared" si="12"/>
        <v>240.70463268712433</v>
      </c>
    </row>
    <row r="168" spans="1:7" ht="15" x14ac:dyDescent="0.25">
      <c r="A168" s="423">
        <f t="shared" si="13"/>
        <v>150</v>
      </c>
      <c r="B168" s="408" t="str">
        <f>'[1]Под 6'!A158</f>
        <v>Л/143</v>
      </c>
      <c r="C168" s="396" t="s">
        <v>430</v>
      </c>
      <c r="D168" s="410">
        <v>83</v>
      </c>
      <c r="E168" s="399">
        <f t="shared" si="11"/>
        <v>46.542771142763698</v>
      </c>
      <c r="F168" s="398">
        <v>5.05</v>
      </c>
      <c r="G168" s="411">
        <f t="shared" si="12"/>
        <v>235.04099427095667</v>
      </c>
    </row>
    <row r="169" spans="1:7" ht="15" x14ac:dyDescent="0.25">
      <c r="A169" s="423">
        <f t="shared" si="13"/>
        <v>151</v>
      </c>
      <c r="B169" s="408" t="str">
        <f>'[1]Под 6'!A159</f>
        <v>144</v>
      </c>
      <c r="C169" s="413" t="s">
        <v>431</v>
      </c>
      <c r="D169" s="410">
        <v>45.8</v>
      </c>
      <c r="E169" s="399">
        <f t="shared" si="11"/>
        <v>25.682637570344305</v>
      </c>
      <c r="F169" s="398">
        <v>5.05</v>
      </c>
      <c r="G169" s="411">
        <f t="shared" si="12"/>
        <v>129.69731973023875</v>
      </c>
    </row>
    <row r="170" spans="1:7" ht="15" x14ac:dyDescent="0.25">
      <c r="A170" s="423">
        <f t="shared" si="13"/>
        <v>152</v>
      </c>
      <c r="B170" s="408" t="str">
        <f>'[1]Под 6'!A160</f>
        <v>145</v>
      </c>
      <c r="C170" s="414" t="s">
        <v>432</v>
      </c>
      <c r="D170" s="410">
        <v>47.6</v>
      </c>
      <c r="E170" s="399">
        <f t="shared" si="11"/>
        <v>26.691998872235565</v>
      </c>
      <c r="F170" s="398">
        <v>5.05</v>
      </c>
      <c r="G170" s="411">
        <f t="shared" si="12"/>
        <v>134.7945943047896</v>
      </c>
    </row>
    <row r="171" spans="1:7" ht="15" x14ac:dyDescent="0.25">
      <c r="A171" s="423">
        <f t="shared" si="13"/>
        <v>153</v>
      </c>
      <c r="B171" s="408" t="str">
        <f>'[1]Под 6'!A161</f>
        <v>146</v>
      </c>
      <c r="C171" s="415" t="s">
        <v>433</v>
      </c>
      <c r="D171" s="410">
        <v>113.1</v>
      </c>
      <c r="E171" s="399">
        <f t="shared" si="11"/>
        <v>63.421535135500896</v>
      </c>
      <c r="F171" s="398">
        <v>5.05</v>
      </c>
      <c r="G171" s="411">
        <f t="shared" si="12"/>
        <v>320.27875243427951</v>
      </c>
    </row>
    <row r="172" spans="1:7" ht="15" x14ac:dyDescent="0.25">
      <c r="A172" s="423">
        <f t="shared" si="13"/>
        <v>154</v>
      </c>
      <c r="B172" s="408" t="str">
        <f>'[1]Под 6'!A162</f>
        <v>147</v>
      </c>
      <c r="C172" s="415" t="s">
        <v>434</v>
      </c>
      <c r="D172" s="410">
        <v>57.4</v>
      </c>
      <c r="E172" s="399">
        <f t="shared" si="11"/>
        <v>32.187410404754651</v>
      </c>
      <c r="F172" s="398">
        <v>5.05</v>
      </c>
      <c r="G172" s="411">
        <f t="shared" si="12"/>
        <v>162.54642254401099</v>
      </c>
    </row>
    <row r="173" spans="1:7" ht="15" x14ac:dyDescent="0.25">
      <c r="A173" s="423">
        <f t="shared" si="13"/>
        <v>155</v>
      </c>
      <c r="B173" s="408" t="str">
        <f>'[1]Под 6'!A163</f>
        <v>П/148</v>
      </c>
      <c r="C173" s="415" t="s">
        <v>435</v>
      </c>
      <c r="D173" s="410">
        <f>101.9</f>
        <v>101.9</v>
      </c>
      <c r="E173" s="399">
        <f t="shared" si="11"/>
        <v>57.141064812621941</v>
      </c>
      <c r="F173" s="398">
        <v>5.05</v>
      </c>
      <c r="G173" s="411">
        <f t="shared" si="12"/>
        <v>288.56237730374079</v>
      </c>
    </row>
    <row r="174" spans="1:7" ht="15" x14ac:dyDescent="0.25">
      <c r="A174" s="423">
        <f t="shared" si="13"/>
        <v>156</v>
      </c>
      <c r="B174" s="408" t="str">
        <f>'[1]Под 6'!A164</f>
        <v>149</v>
      </c>
      <c r="C174" s="422" t="s">
        <v>436</v>
      </c>
      <c r="D174" s="410">
        <f>81.4</f>
        <v>81.400000000000006</v>
      </c>
      <c r="E174" s="399">
        <f t="shared" si="11"/>
        <v>45.64556109663814</v>
      </c>
      <c r="F174" s="398">
        <v>5.05</v>
      </c>
      <c r="G174" s="411">
        <f t="shared" si="12"/>
        <v>230.5100835380226</v>
      </c>
    </row>
    <row r="175" spans="1:7" ht="15" x14ac:dyDescent="0.25">
      <c r="A175" s="423">
        <f t="shared" si="13"/>
        <v>157</v>
      </c>
      <c r="B175" s="408" t="str">
        <f>'[1]Под 6'!A165</f>
        <v>150</v>
      </c>
      <c r="C175" s="415" t="s">
        <v>437</v>
      </c>
      <c r="D175" s="410">
        <v>121.7</v>
      </c>
      <c r="E175" s="399">
        <f t="shared" si="11"/>
        <v>68.244039133425815</v>
      </c>
      <c r="F175" s="398">
        <v>5.05</v>
      </c>
      <c r="G175" s="411">
        <f t="shared" si="12"/>
        <v>344.63239762380033</v>
      </c>
    </row>
    <row r="176" spans="1:7" ht="15" x14ac:dyDescent="0.25">
      <c r="A176" s="423">
        <f t="shared" si="13"/>
        <v>158</v>
      </c>
      <c r="B176" s="408" t="str">
        <f>'[1]Под 6'!A166</f>
        <v>151</v>
      </c>
      <c r="C176" s="409" t="s">
        <v>438</v>
      </c>
      <c r="D176" s="410">
        <v>85.5</v>
      </c>
      <c r="E176" s="399">
        <f t="shared" si="11"/>
        <v>47.9446618398349</v>
      </c>
      <c r="F176" s="398">
        <v>5.05</v>
      </c>
      <c r="G176" s="411">
        <f t="shared" si="12"/>
        <v>242.12054229116623</v>
      </c>
    </row>
    <row r="177" spans="1:7" ht="15" x14ac:dyDescent="0.25">
      <c r="A177" s="423">
        <f t="shared" si="13"/>
        <v>159</v>
      </c>
      <c r="B177" s="408" t="str">
        <f>'[1]Под 6'!A173</f>
        <v>Л/152</v>
      </c>
      <c r="C177" s="414" t="s">
        <v>439</v>
      </c>
      <c r="D177" s="410">
        <v>83.1</v>
      </c>
      <c r="E177" s="399">
        <f t="shared" si="11"/>
        <v>46.598846770646546</v>
      </c>
      <c r="F177" s="398">
        <v>5.05</v>
      </c>
      <c r="G177" s="411">
        <f t="shared" si="12"/>
        <v>235.32417619176505</v>
      </c>
    </row>
    <row r="178" spans="1:7" ht="15" x14ac:dyDescent="0.25">
      <c r="A178" s="423">
        <f t="shared" si="13"/>
        <v>160</v>
      </c>
      <c r="B178" s="408" t="str">
        <f>'[1]Под 6'!A174</f>
        <v>153</v>
      </c>
      <c r="C178" s="415" t="s">
        <v>440</v>
      </c>
      <c r="D178" s="410">
        <v>45.8</v>
      </c>
      <c r="E178" s="399">
        <f t="shared" si="11"/>
        <v>25.682637570344305</v>
      </c>
      <c r="F178" s="398">
        <v>5.05</v>
      </c>
      <c r="G178" s="411">
        <f t="shared" si="12"/>
        <v>129.69731973023875</v>
      </c>
    </row>
    <row r="179" spans="1:7" ht="15" x14ac:dyDescent="0.25">
      <c r="A179" s="423">
        <f t="shared" si="13"/>
        <v>161</v>
      </c>
      <c r="B179" s="408" t="str">
        <f>'[1]Под 6'!A175</f>
        <v>154</v>
      </c>
      <c r="C179" s="415" t="s">
        <v>441</v>
      </c>
      <c r="D179" s="410">
        <f>47.6</f>
        <v>47.6</v>
      </c>
      <c r="E179" s="399">
        <f t="shared" si="11"/>
        <v>26.691998872235565</v>
      </c>
      <c r="F179" s="398">
        <v>5.05</v>
      </c>
      <c r="G179" s="411">
        <f t="shared" si="12"/>
        <v>134.7945943047896</v>
      </c>
    </row>
    <row r="180" spans="1:7" ht="15" x14ac:dyDescent="0.25">
      <c r="A180" s="423">
        <f t="shared" si="13"/>
        <v>162</v>
      </c>
      <c r="B180" s="408" t="str">
        <f>'[1]Под 6'!A176</f>
        <v>155</v>
      </c>
      <c r="C180" s="422" t="s">
        <v>442</v>
      </c>
      <c r="D180" s="410">
        <v>113</v>
      </c>
      <c r="E180" s="399">
        <f t="shared" si="11"/>
        <v>63.365459507618048</v>
      </c>
      <c r="F180" s="398">
        <v>5.05</v>
      </c>
      <c r="G180" s="411">
        <f t="shared" si="12"/>
        <v>319.99557051347114</v>
      </c>
    </row>
    <row r="181" spans="1:7" ht="15" x14ac:dyDescent="0.25">
      <c r="A181" s="423">
        <f t="shared" si="13"/>
        <v>163</v>
      </c>
      <c r="B181" s="408" t="str">
        <f>'[1]Под 6'!A177</f>
        <v>156</v>
      </c>
      <c r="C181" s="396" t="s">
        <v>443</v>
      </c>
      <c r="D181" s="410">
        <v>57</v>
      </c>
      <c r="E181" s="399">
        <f t="shared" si="11"/>
        <v>31.96310789322326</v>
      </c>
      <c r="F181" s="398">
        <v>5.05</v>
      </c>
      <c r="G181" s="411">
        <f t="shared" si="12"/>
        <v>161.41369486077747</v>
      </c>
    </row>
    <row r="182" spans="1:7" ht="15" x14ac:dyDescent="0.25">
      <c r="A182" s="423">
        <f t="shared" si="13"/>
        <v>164</v>
      </c>
      <c r="B182" s="408" t="str">
        <f>'[1]Под 6'!A178</f>
        <v>П/157</v>
      </c>
      <c r="C182" s="396" t="s">
        <v>444</v>
      </c>
      <c r="D182" s="410">
        <v>100.1</v>
      </c>
      <c r="E182" s="399">
        <f t="shared" si="11"/>
        <v>56.131703510730674</v>
      </c>
      <c r="F182" s="398">
        <v>5.05</v>
      </c>
      <c r="G182" s="411">
        <f t="shared" si="12"/>
        <v>283.46510272918988</v>
      </c>
    </row>
    <row r="183" spans="1:7" ht="15" x14ac:dyDescent="0.25">
      <c r="A183" s="423">
        <f t="shared" si="13"/>
        <v>165</v>
      </c>
      <c r="B183" s="408" t="str">
        <f>'[1]Под 6'!A179</f>
        <v>158</v>
      </c>
      <c r="C183" s="396" t="s">
        <v>445</v>
      </c>
      <c r="D183" s="410">
        <v>80.599999999999994</v>
      </c>
      <c r="E183" s="399">
        <f t="shared" si="11"/>
        <v>45.19695607357535</v>
      </c>
      <c r="F183" s="398">
        <v>5.05</v>
      </c>
      <c r="G183" s="411">
        <f t="shared" si="12"/>
        <v>228.24462817155552</v>
      </c>
    </row>
    <row r="184" spans="1:7" ht="15" x14ac:dyDescent="0.25">
      <c r="A184" s="423">
        <f t="shared" si="13"/>
        <v>166</v>
      </c>
      <c r="B184" s="408" t="str">
        <f>'[1]Под 6'!A180</f>
        <v>159</v>
      </c>
      <c r="C184" s="396" t="s">
        <v>446</v>
      </c>
      <c r="D184" s="410">
        <v>120.9</v>
      </c>
      <c r="E184" s="399">
        <f t="shared" si="11"/>
        <v>67.795434110363033</v>
      </c>
      <c r="F184" s="398">
        <v>5.05</v>
      </c>
      <c r="G184" s="411">
        <f t="shared" si="12"/>
        <v>342.36694225733328</v>
      </c>
    </row>
    <row r="185" spans="1:7" ht="15" x14ac:dyDescent="0.25">
      <c r="A185" s="423">
        <f t="shared" si="13"/>
        <v>167</v>
      </c>
      <c r="B185" s="408" t="str">
        <f>'[1]Под 6'!A181</f>
        <v>160</v>
      </c>
      <c r="C185" s="396" t="s">
        <v>447</v>
      </c>
      <c r="D185" s="410">
        <v>85.1</v>
      </c>
      <c r="E185" s="399">
        <f t="shared" si="11"/>
        <v>47.720359328303502</v>
      </c>
      <c r="F185" s="398">
        <v>5.05</v>
      </c>
      <c r="G185" s="411">
        <f t="shared" si="12"/>
        <v>240.98781460793268</v>
      </c>
    </row>
    <row r="186" spans="1:7" ht="15" x14ac:dyDescent="0.25">
      <c r="A186" s="423">
        <f t="shared" si="13"/>
        <v>168</v>
      </c>
      <c r="B186" s="408" t="str">
        <f>'[1]Под 6'!A182</f>
        <v>Л/161</v>
      </c>
      <c r="C186" s="396" t="s">
        <v>448</v>
      </c>
      <c r="D186" s="410">
        <v>84</v>
      </c>
      <c r="E186" s="399">
        <f t="shared" ref="E186:E217" si="14">$E$4*D186/$A$5</f>
        <v>47.103527421592176</v>
      </c>
      <c r="F186" s="398">
        <v>5.05</v>
      </c>
      <c r="G186" s="411">
        <f t="shared" si="12"/>
        <v>237.87281347904047</v>
      </c>
    </row>
    <row r="187" spans="1:7" ht="15" x14ac:dyDescent="0.25">
      <c r="A187" s="423">
        <f t="shared" si="13"/>
        <v>169</v>
      </c>
      <c r="B187" s="408" t="str">
        <f>'[1]Под 6'!A183</f>
        <v>162</v>
      </c>
      <c r="C187" s="396" t="s">
        <v>449</v>
      </c>
      <c r="D187" s="410">
        <v>45.7</v>
      </c>
      <c r="E187" s="399">
        <f t="shared" si="14"/>
        <v>25.626561942461461</v>
      </c>
      <c r="F187" s="398">
        <v>5.05</v>
      </c>
      <c r="G187" s="411">
        <f t="shared" si="12"/>
        <v>129.41413780943037</v>
      </c>
    </row>
    <row r="188" spans="1:7" ht="15" x14ac:dyDescent="0.25">
      <c r="A188" s="423">
        <f t="shared" si="13"/>
        <v>170</v>
      </c>
      <c r="B188" s="408" t="str">
        <f>'[1]Под 6'!A184</f>
        <v>163</v>
      </c>
      <c r="C188" s="396" t="s">
        <v>450</v>
      </c>
      <c r="D188" s="410">
        <v>49.2</v>
      </c>
      <c r="E188" s="399">
        <f t="shared" si="14"/>
        <v>27.58920891836113</v>
      </c>
      <c r="F188" s="398">
        <v>5.05</v>
      </c>
      <c r="G188" s="411">
        <f t="shared" si="12"/>
        <v>139.3255050377237</v>
      </c>
    </row>
    <row r="189" spans="1:7" ht="15" x14ac:dyDescent="0.25">
      <c r="A189" s="423">
        <f t="shared" si="13"/>
        <v>171</v>
      </c>
      <c r="B189" s="408" t="str">
        <f>'[1]Под 6'!A185</f>
        <v>164</v>
      </c>
      <c r="C189" s="396" t="s">
        <v>451</v>
      </c>
      <c r="D189" s="410">
        <v>111.7</v>
      </c>
      <c r="E189" s="399">
        <f t="shared" si="14"/>
        <v>62.636476345141027</v>
      </c>
      <c r="F189" s="398">
        <v>5.05</v>
      </c>
      <c r="G189" s="411">
        <f t="shared" si="12"/>
        <v>316.31420554296216</v>
      </c>
    </row>
    <row r="190" spans="1:7" ht="15" x14ac:dyDescent="0.25">
      <c r="A190" s="423">
        <f t="shared" si="13"/>
        <v>172</v>
      </c>
      <c r="B190" s="408" t="str">
        <f>'[1]Под 6'!A186</f>
        <v>165</v>
      </c>
      <c r="C190" s="413" t="s">
        <v>452</v>
      </c>
      <c r="D190" s="410">
        <v>57.9</v>
      </c>
      <c r="E190" s="399">
        <f t="shared" si="14"/>
        <v>32.46778854416889</v>
      </c>
      <c r="F190" s="398">
        <v>5.05</v>
      </c>
      <c r="G190" s="411">
        <f t="shared" si="12"/>
        <v>163.96233214805289</v>
      </c>
    </row>
    <row r="191" spans="1:7" ht="15" x14ac:dyDescent="0.25">
      <c r="A191" s="423">
        <f t="shared" si="13"/>
        <v>173</v>
      </c>
      <c r="B191" s="408" t="str">
        <f>'[1]Под 6'!A187</f>
        <v>П/166</v>
      </c>
      <c r="C191" s="414" t="s">
        <v>430</v>
      </c>
      <c r="D191" s="410">
        <v>104</v>
      </c>
      <c r="E191" s="399">
        <f t="shared" si="14"/>
        <v>58.318652998161745</v>
      </c>
      <c r="F191" s="398">
        <v>5.05</v>
      </c>
      <c r="G191" s="411">
        <f t="shared" si="12"/>
        <v>294.50919764071682</v>
      </c>
    </row>
    <row r="192" spans="1:7" ht="15" x14ac:dyDescent="0.25">
      <c r="A192" s="423">
        <f t="shared" si="13"/>
        <v>174</v>
      </c>
      <c r="B192" s="408" t="str">
        <f>'[1]Под 6'!A188</f>
        <v>167</v>
      </c>
      <c r="C192" s="415" t="s">
        <v>453</v>
      </c>
      <c r="D192" s="410">
        <v>91.8</v>
      </c>
      <c r="E192" s="399">
        <f t="shared" si="14"/>
        <v>51.477426396454312</v>
      </c>
      <c r="F192" s="398">
        <v>5.05</v>
      </c>
      <c r="G192" s="411">
        <f t="shared" si="12"/>
        <v>259.96100330209424</v>
      </c>
    </row>
    <row r="193" spans="1:7" ht="15" x14ac:dyDescent="0.25">
      <c r="A193" s="423">
        <f t="shared" si="13"/>
        <v>175</v>
      </c>
      <c r="B193" s="408" t="str">
        <f>'[1]Под 6'!A189</f>
        <v>168</v>
      </c>
      <c r="C193" s="415" t="s">
        <v>446</v>
      </c>
      <c r="D193" s="410">
        <v>124.1</v>
      </c>
      <c r="E193" s="399">
        <f t="shared" si="14"/>
        <v>69.589854202614148</v>
      </c>
      <c r="F193" s="398">
        <v>5.05</v>
      </c>
      <c r="G193" s="411">
        <f t="shared" si="12"/>
        <v>351.42876372320143</v>
      </c>
    </row>
    <row r="194" spans="1:7" ht="15" x14ac:dyDescent="0.25">
      <c r="A194" s="423">
        <f t="shared" si="13"/>
        <v>176</v>
      </c>
      <c r="B194" s="408" t="str">
        <f>'[1]Под 6'!A190</f>
        <v>169</v>
      </c>
      <c r="C194" s="415" t="s">
        <v>454</v>
      </c>
      <c r="D194" s="410">
        <v>85</v>
      </c>
      <c r="E194" s="399">
        <f t="shared" si="14"/>
        <v>47.664283700420661</v>
      </c>
      <c r="F194" s="398">
        <v>5.05</v>
      </c>
      <c r="G194" s="411">
        <f t="shared" si="12"/>
        <v>240.70463268712433</v>
      </c>
    </row>
    <row r="195" spans="1:7" ht="15" x14ac:dyDescent="0.25">
      <c r="A195" s="423">
        <f t="shared" si="13"/>
        <v>177</v>
      </c>
      <c r="B195" s="408" t="str">
        <f>'[1]Под 6'!A191</f>
        <v>Л/170</v>
      </c>
      <c r="C195" s="422" t="s">
        <v>455</v>
      </c>
      <c r="D195" s="410">
        <v>96.2</v>
      </c>
      <c r="E195" s="399">
        <f t="shared" si="14"/>
        <v>53.944754023299616</v>
      </c>
      <c r="F195" s="398">
        <v>5.05</v>
      </c>
      <c r="G195" s="411">
        <f t="shared" si="12"/>
        <v>272.42100781766305</v>
      </c>
    </row>
    <row r="196" spans="1:7" ht="15" x14ac:dyDescent="0.25">
      <c r="A196" s="423">
        <f t="shared" si="13"/>
        <v>178</v>
      </c>
      <c r="B196" s="408" t="str">
        <f>'[1]Под 6'!A192</f>
        <v>171</v>
      </c>
      <c r="C196" s="415" t="s">
        <v>456</v>
      </c>
      <c r="D196" s="410">
        <v>46.1</v>
      </c>
      <c r="E196" s="399">
        <f t="shared" si="14"/>
        <v>25.850864453992848</v>
      </c>
      <c r="F196" s="398">
        <v>5.05</v>
      </c>
      <c r="G196" s="411">
        <f t="shared" si="12"/>
        <v>130.54686549266387</v>
      </c>
    </row>
    <row r="197" spans="1:7" ht="15" x14ac:dyDescent="0.25">
      <c r="A197" s="423">
        <f t="shared" si="13"/>
        <v>179</v>
      </c>
      <c r="B197" s="408" t="str">
        <f>'[1]Под 6'!A193</f>
        <v>172</v>
      </c>
      <c r="C197" s="414" t="s">
        <v>457</v>
      </c>
      <c r="D197" s="410">
        <f>47.4</f>
        <v>47.4</v>
      </c>
      <c r="E197" s="399">
        <f t="shared" si="14"/>
        <v>26.579847616469873</v>
      </c>
      <c r="F197" s="398">
        <v>5.05</v>
      </c>
      <c r="G197" s="411">
        <f t="shared" si="12"/>
        <v>134.22823046317285</v>
      </c>
    </row>
    <row r="198" spans="1:7" ht="15" x14ac:dyDescent="0.25">
      <c r="A198" s="423">
        <f t="shared" si="13"/>
        <v>180</v>
      </c>
      <c r="B198" s="408" t="str">
        <f>'[1]Под 6'!A194</f>
        <v>173</v>
      </c>
      <c r="C198" s="414" t="s">
        <v>458</v>
      </c>
      <c r="D198" s="410">
        <v>112.6</v>
      </c>
      <c r="E198" s="399">
        <f t="shared" si="14"/>
        <v>63.14115699608665</v>
      </c>
      <c r="F198" s="398">
        <v>5.05</v>
      </c>
      <c r="G198" s="411">
        <f t="shared" si="12"/>
        <v>318.86284283023758</v>
      </c>
    </row>
    <row r="199" spans="1:7" ht="15" x14ac:dyDescent="0.25">
      <c r="A199" s="423">
        <f t="shared" si="13"/>
        <v>181</v>
      </c>
      <c r="B199" s="408" t="str">
        <f>'[1]Под 6'!A195</f>
        <v>174</v>
      </c>
      <c r="C199" s="415" t="s">
        <v>459</v>
      </c>
      <c r="D199" s="410">
        <v>57.2</v>
      </c>
      <c r="E199" s="399">
        <f t="shared" si="14"/>
        <v>32.075259148988962</v>
      </c>
      <c r="F199" s="398">
        <v>5.05</v>
      </c>
      <c r="G199" s="411">
        <f t="shared" si="12"/>
        <v>161.98005870239425</v>
      </c>
    </row>
    <row r="200" spans="1:7" ht="15" x14ac:dyDescent="0.25">
      <c r="A200" s="423">
        <f t="shared" si="13"/>
        <v>182</v>
      </c>
      <c r="B200" s="408" t="str">
        <f>'[1]Под 6'!A196</f>
        <v>П/175</v>
      </c>
      <c r="C200" s="415" t="s">
        <v>460</v>
      </c>
      <c r="D200" s="410">
        <v>117.5</v>
      </c>
      <c r="E200" s="399">
        <f t="shared" si="14"/>
        <v>65.888862762346193</v>
      </c>
      <c r="F200" s="398">
        <v>5.05</v>
      </c>
      <c r="G200" s="411">
        <f t="shared" si="12"/>
        <v>332.73875694984827</v>
      </c>
    </row>
    <row r="201" spans="1:7" ht="15" x14ac:dyDescent="0.25">
      <c r="A201" s="423">
        <f t="shared" si="13"/>
        <v>183</v>
      </c>
      <c r="B201" s="408" t="str">
        <f>'[1]Под 6'!A197</f>
        <v>176</v>
      </c>
      <c r="C201" s="415" t="s">
        <v>461</v>
      </c>
      <c r="D201" s="410">
        <v>81.099999999999994</v>
      </c>
      <c r="E201" s="399">
        <f t="shared" si="14"/>
        <v>45.477334212989589</v>
      </c>
      <c r="F201" s="398">
        <v>5.05</v>
      </c>
      <c r="G201" s="411">
        <f t="shared" si="12"/>
        <v>229.66053777559742</v>
      </c>
    </row>
    <row r="202" spans="1:7" ht="15" x14ac:dyDescent="0.25">
      <c r="A202" s="423">
        <f t="shared" si="13"/>
        <v>184</v>
      </c>
      <c r="B202" s="408" t="str">
        <f>'[1]Под 6'!A198</f>
        <v>177</v>
      </c>
      <c r="C202" s="877" t="s">
        <v>462</v>
      </c>
      <c r="D202" s="410">
        <f>214.1/2</f>
        <v>107.05</v>
      </c>
      <c r="E202" s="399">
        <f t="shared" si="14"/>
        <v>60.028959648588604</v>
      </c>
      <c r="F202" s="398">
        <v>5.05</v>
      </c>
      <c r="G202" s="411">
        <f t="shared" si="12"/>
        <v>303.14624622537247</v>
      </c>
    </row>
    <row r="203" spans="1:7" ht="15" x14ac:dyDescent="0.25">
      <c r="A203" s="423">
        <f t="shared" si="13"/>
        <v>185</v>
      </c>
      <c r="B203" s="408" t="str">
        <f>'[1]Под 6'!A199</f>
        <v>177а</v>
      </c>
      <c r="C203" s="877"/>
      <c r="D203" s="410">
        <f>214.1/2</f>
        <v>107.05</v>
      </c>
      <c r="E203" s="399">
        <f t="shared" si="14"/>
        <v>60.028959648588604</v>
      </c>
      <c r="F203" s="398">
        <v>5.05</v>
      </c>
      <c r="G203" s="411">
        <f t="shared" si="12"/>
        <v>303.14624622537247</v>
      </c>
    </row>
    <row r="204" spans="1:7" ht="15" x14ac:dyDescent="0.25">
      <c r="A204" s="423">
        <f t="shared" si="13"/>
        <v>186</v>
      </c>
      <c r="B204" s="408" t="str">
        <f>'[1]Под 6'!A200</f>
        <v>Л/178</v>
      </c>
      <c r="C204" s="396" t="s">
        <v>463</v>
      </c>
      <c r="D204" s="410">
        <v>85.5</v>
      </c>
      <c r="E204" s="399">
        <f t="shared" si="14"/>
        <v>47.9446618398349</v>
      </c>
      <c r="F204" s="398">
        <v>5.05</v>
      </c>
      <c r="G204" s="411">
        <f t="shared" si="12"/>
        <v>242.12054229116623</v>
      </c>
    </row>
    <row r="205" spans="1:7" ht="15" x14ac:dyDescent="0.25">
      <c r="A205" s="423">
        <f t="shared" si="13"/>
        <v>187</v>
      </c>
      <c r="B205" s="408" t="str">
        <f>'[1]Под 6'!A201</f>
        <v>179</v>
      </c>
      <c r="C205" s="396" t="s">
        <v>464</v>
      </c>
      <c r="D205" s="410">
        <v>45.7</v>
      </c>
      <c r="E205" s="399">
        <f t="shared" si="14"/>
        <v>25.626561942461461</v>
      </c>
      <c r="F205" s="398">
        <v>5.05</v>
      </c>
      <c r="G205" s="411">
        <f t="shared" si="12"/>
        <v>129.41413780943037</v>
      </c>
    </row>
    <row r="206" spans="1:7" ht="15" x14ac:dyDescent="0.25">
      <c r="A206" s="423">
        <f t="shared" si="13"/>
        <v>188</v>
      </c>
      <c r="B206" s="408" t="str">
        <f>'[1]Под 6'!A202</f>
        <v>180</v>
      </c>
      <c r="C206" s="396" t="s">
        <v>465</v>
      </c>
      <c r="D206" s="410">
        <v>47.3</v>
      </c>
      <c r="E206" s="399">
        <f t="shared" si="14"/>
        <v>26.523771988587022</v>
      </c>
      <c r="F206" s="398">
        <v>5.05</v>
      </c>
      <c r="G206" s="411">
        <f t="shared" si="12"/>
        <v>133.94504854236445</v>
      </c>
    </row>
    <row r="207" spans="1:7" ht="15" x14ac:dyDescent="0.25">
      <c r="A207" s="423">
        <f t="shared" si="13"/>
        <v>189</v>
      </c>
      <c r="B207" s="408" t="str">
        <f>'[1]Под 6'!A203</f>
        <v>181</v>
      </c>
      <c r="C207" s="396" t="s">
        <v>466</v>
      </c>
      <c r="D207" s="410">
        <v>111.5</v>
      </c>
      <c r="E207" s="399">
        <f t="shared" si="14"/>
        <v>62.524325089375331</v>
      </c>
      <c r="F207" s="398">
        <v>5.05</v>
      </c>
      <c r="G207" s="411">
        <f t="shared" si="12"/>
        <v>315.74784170134541</v>
      </c>
    </row>
    <row r="208" spans="1:7" ht="15" x14ac:dyDescent="0.25">
      <c r="A208" s="423">
        <f t="shared" si="13"/>
        <v>190</v>
      </c>
      <c r="B208" s="408" t="str">
        <f>'[1]Под 6'!A204</f>
        <v>182</v>
      </c>
      <c r="C208" s="396" t="s">
        <v>467</v>
      </c>
      <c r="D208" s="410">
        <v>57.7</v>
      </c>
      <c r="E208" s="399">
        <f t="shared" si="14"/>
        <v>32.355637288403202</v>
      </c>
      <c r="F208" s="398">
        <v>5.05</v>
      </c>
      <c r="G208" s="411">
        <f t="shared" si="12"/>
        <v>163.39596830643617</v>
      </c>
    </row>
    <row r="209" spans="1:7" ht="15" x14ac:dyDescent="0.25">
      <c r="A209" s="423">
        <f t="shared" si="13"/>
        <v>191</v>
      </c>
      <c r="B209" s="408" t="str">
        <f>'[1]Под 6'!A205</f>
        <v>П/183</v>
      </c>
      <c r="C209" s="422" t="s">
        <v>468</v>
      </c>
      <c r="D209" s="410">
        <v>115.8</v>
      </c>
      <c r="E209" s="399">
        <f t="shared" si="14"/>
        <v>64.93557708833778</v>
      </c>
      <c r="F209" s="398">
        <v>5.05</v>
      </c>
      <c r="G209" s="411">
        <f t="shared" si="12"/>
        <v>327.92466429610579</v>
      </c>
    </row>
    <row r="210" spans="1:7" ht="15" x14ac:dyDescent="0.25">
      <c r="A210" s="423">
        <f t="shared" si="13"/>
        <v>192</v>
      </c>
      <c r="B210" s="408" t="str">
        <f>'[1]Под 6'!A206</f>
        <v>184</v>
      </c>
      <c r="C210" s="396" t="s">
        <v>469</v>
      </c>
      <c r="D210" s="410">
        <v>79.900000000000006</v>
      </c>
      <c r="E210" s="399">
        <f t="shared" si="14"/>
        <v>44.804426678395423</v>
      </c>
      <c r="F210" s="398">
        <v>5.05</v>
      </c>
      <c r="G210" s="411">
        <f t="shared" si="12"/>
        <v>226.26235472589687</v>
      </c>
    </row>
    <row r="211" spans="1:7" ht="15" x14ac:dyDescent="0.25">
      <c r="A211" s="423">
        <f t="shared" si="13"/>
        <v>193</v>
      </c>
      <c r="B211" s="408" t="str">
        <f>'[1]Под 6'!A207</f>
        <v>185</v>
      </c>
      <c r="C211" s="396" t="s">
        <v>470</v>
      </c>
      <c r="D211" s="410">
        <v>124.5</v>
      </c>
      <c r="E211" s="399">
        <f t="shared" si="14"/>
        <v>69.814156714145554</v>
      </c>
      <c r="F211" s="398">
        <v>5.05</v>
      </c>
      <c r="G211" s="411">
        <f t="shared" si="12"/>
        <v>352.56149140643504</v>
      </c>
    </row>
    <row r="212" spans="1:7" ht="15" x14ac:dyDescent="0.25">
      <c r="A212" s="423">
        <f t="shared" si="13"/>
        <v>194</v>
      </c>
      <c r="B212" s="408" t="str">
        <f>'[1]Под 6'!A208</f>
        <v>186</v>
      </c>
      <c r="C212" s="396" t="s">
        <v>471</v>
      </c>
      <c r="D212" s="410">
        <v>85.9</v>
      </c>
      <c r="E212" s="399">
        <f t="shared" si="14"/>
        <v>48.168964351366284</v>
      </c>
      <c r="F212" s="398">
        <v>5.05</v>
      </c>
      <c r="G212" s="411">
        <f t="shared" si="12"/>
        <v>243.25326997439973</v>
      </c>
    </row>
    <row r="213" spans="1:7" ht="15" x14ac:dyDescent="0.25">
      <c r="A213" s="423">
        <f t="shared" si="13"/>
        <v>195</v>
      </c>
      <c r="B213" s="408" t="str">
        <f>'[1]Под 6'!A209</f>
        <v>Л/187</v>
      </c>
      <c r="C213" s="396" t="s">
        <v>472</v>
      </c>
      <c r="D213" s="410">
        <v>84.6</v>
      </c>
      <c r="E213" s="399">
        <f t="shared" si="14"/>
        <v>47.439981188889263</v>
      </c>
      <c r="F213" s="398">
        <v>5.05</v>
      </c>
      <c r="G213" s="411">
        <f t="shared" si="12"/>
        <v>239.57190500389078</v>
      </c>
    </row>
    <row r="214" spans="1:7" ht="15" x14ac:dyDescent="0.25">
      <c r="A214" s="423">
        <f t="shared" si="13"/>
        <v>196</v>
      </c>
      <c r="B214" s="408" t="str">
        <f>'[1]Под 6'!A210</f>
        <v>188</v>
      </c>
      <c r="C214" s="396" t="s">
        <v>431</v>
      </c>
      <c r="D214" s="410">
        <v>44.8</v>
      </c>
      <c r="E214" s="399">
        <f t="shared" si="14"/>
        <v>25.121881291515823</v>
      </c>
      <c r="F214" s="398">
        <v>5.05</v>
      </c>
      <c r="G214" s="411">
        <f t="shared" si="12"/>
        <v>126.8655005221549</v>
      </c>
    </row>
    <row r="215" spans="1:7" ht="15" x14ac:dyDescent="0.25">
      <c r="A215" s="423">
        <f t="shared" si="13"/>
        <v>197</v>
      </c>
      <c r="B215" s="408" t="str">
        <f>'[1]Под 6'!A211</f>
        <v>189</v>
      </c>
      <c r="C215" s="413" t="s">
        <v>473</v>
      </c>
      <c r="D215" s="410">
        <v>45.8</v>
      </c>
      <c r="E215" s="399">
        <f t="shared" si="14"/>
        <v>25.682637570344305</v>
      </c>
      <c r="F215" s="398">
        <v>5.05</v>
      </c>
      <c r="G215" s="411">
        <f t="shared" si="12"/>
        <v>129.69731973023875</v>
      </c>
    </row>
    <row r="216" spans="1:7" ht="15" x14ac:dyDescent="0.25">
      <c r="A216" s="423">
        <f t="shared" si="13"/>
        <v>198</v>
      </c>
      <c r="B216" s="408" t="str">
        <f>'[1]Под 6'!A212</f>
        <v>190</v>
      </c>
      <c r="C216" s="414" t="s">
        <v>474</v>
      </c>
      <c r="D216" s="410">
        <v>112.7</v>
      </c>
      <c r="E216" s="399">
        <f t="shared" si="14"/>
        <v>63.197232623969505</v>
      </c>
      <c r="F216" s="398">
        <v>5.05</v>
      </c>
      <c r="G216" s="411">
        <f t="shared" si="12"/>
        <v>319.14602475104601</v>
      </c>
    </row>
    <row r="217" spans="1:7" ht="15" x14ac:dyDescent="0.25">
      <c r="A217" s="423">
        <f t="shared" si="13"/>
        <v>199</v>
      </c>
      <c r="B217" s="408" t="str">
        <f>'[1]Под 6'!A213</f>
        <v>191</v>
      </c>
      <c r="C217" s="415" t="s">
        <v>475</v>
      </c>
      <c r="D217" s="410">
        <v>57.1</v>
      </c>
      <c r="E217" s="399">
        <f t="shared" si="14"/>
        <v>32.019183521106108</v>
      </c>
      <c r="F217" s="398">
        <v>5.05</v>
      </c>
      <c r="G217" s="411">
        <f t="shared" si="12"/>
        <v>161.69687678158584</v>
      </c>
    </row>
    <row r="218" spans="1:7" ht="15" x14ac:dyDescent="0.25">
      <c r="A218" s="423">
        <f t="shared" si="13"/>
        <v>200</v>
      </c>
      <c r="B218" s="408" t="str">
        <f>'[1]Под 6'!A214</f>
        <v>П/192</v>
      </c>
      <c r="C218" s="415" t="s">
        <v>476</v>
      </c>
      <c r="D218" s="410">
        <v>102.9</v>
      </c>
      <c r="E218" s="399">
        <f t="shared" ref="E218:E221" si="15">$E$4*D218/$A$5</f>
        <v>57.701821091450419</v>
      </c>
      <c r="F218" s="398">
        <v>5.05</v>
      </c>
      <c r="G218" s="411">
        <f t="shared" si="12"/>
        <v>291.39419651182459</v>
      </c>
    </row>
    <row r="219" spans="1:7" ht="15" x14ac:dyDescent="0.25">
      <c r="A219" s="423">
        <f t="shared" si="13"/>
        <v>201</v>
      </c>
      <c r="B219" s="408" t="str">
        <f>'[1]Под 6'!A215</f>
        <v>193</v>
      </c>
      <c r="C219" s="415" t="s">
        <v>477</v>
      </c>
      <c r="D219" s="410">
        <f>79.7</f>
        <v>79.7</v>
      </c>
      <c r="E219" s="399">
        <f t="shared" si="15"/>
        <v>44.69227542262972</v>
      </c>
      <c r="F219" s="398">
        <v>5.05</v>
      </c>
      <c r="G219" s="411">
        <f>E219*F219</f>
        <v>225.69599088428006</v>
      </c>
    </row>
    <row r="220" spans="1:7" ht="15" x14ac:dyDescent="0.25">
      <c r="A220" s="423">
        <f t="shared" si="13"/>
        <v>202</v>
      </c>
      <c r="B220" s="408" t="str">
        <f>'[1]Под 6'!A216</f>
        <v>194</v>
      </c>
      <c r="C220" s="422" t="s">
        <v>478</v>
      </c>
      <c r="D220" s="410">
        <v>124.2</v>
      </c>
      <c r="E220" s="399">
        <f t="shared" si="15"/>
        <v>69.64592983049701</v>
      </c>
      <c r="F220" s="398">
        <v>5.05</v>
      </c>
      <c r="G220" s="411">
        <f>E220*F220</f>
        <v>351.71194564400992</v>
      </c>
    </row>
    <row r="221" spans="1:7" ht="15" x14ac:dyDescent="0.25">
      <c r="A221" s="429">
        <f t="shared" si="13"/>
        <v>203</v>
      </c>
      <c r="B221" s="430" t="str">
        <f>'[1]Под 6'!A217</f>
        <v>195</v>
      </c>
      <c r="C221" s="415" t="s">
        <v>479</v>
      </c>
      <c r="D221" s="410">
        <v>86.4</v>
      </c>
      <c r="E221" s="399">
        <f t="shared" si="15"/>
        <v>48.449342490780523</v>
      </c>
      <c r="F221" s="398">
        <v>5.05</v>
      </c>
      <c r="G221" s="411">
        <f>E221*F221</f>
        <v>244.66917957844163</v>
      </c>
    </row>
    <row r="222" spans="1:7" x14ac:dyDescent="0.2">
      <c r="A222" s="423"/>
      <c r="B222" s="431"/>
      <c r="C222" s="432"/>
      <c r="D222" s="433">
        <f>SUM(D26:D221)</f>
        <v>16075.800000000007</v>
      </c>
      <c r="E222" s="433">
        <f>SUM(E26:E221)</f>
        <v>9014.6057871908451</v>
      </c>
      <c r="F222" s="434"/>
      <c r="G222" s="433">
        <f>SUM(G26:G221)</f>
        <v>45523.759225313821</v>
      </c>
    </row>
    <row r="223" spans="1:7" x14ac:dyDescent="0.2">
      <c r="C223" s="435" t="s">
        <v>1010</v>
      </c>
      <c r="D223" s="390">
        <f>D222+D25</f>
        <v>17471.600000000006</v>
      </c>
      <c r="E223" s="390">
        <f>E222+E25</f>
        <v>9797.3094011796347</v>
      </c>
      <c r="G223" s="376">
        <f>G222+G25</f>
        <v>49476.412475957208</v>
      </c>
    </row>
    <row r="224" spans="1:7" x14ac:dyDescent="0.2">
      <c r="E224" s="436"/>
    </row>
    <row r="227" spans="2:2" x14ac:dyDescent="0.2">
      <c r="B227" s="437"/>
    </row>
    <row r="228" spans="2:2" x14ac:dyDescent="0.2">
      <c r="B228" s="437"/>
    </row>
    <row r="229" spans="2:2" x14ac:dyDescent="0.2">
      <c r="B229" s="437"/>
    </row>
    <row r="230" spans="2:2" x14ac:dyDescent="0.2">
      <c r="B230" s="437"/>
    </row>
  </sheetData>
  <customSheetViews>
    <customSheetView guid="{59BB3A05-2517-4212-B4B0-766CE27362F6}" fitToPage="1" state="hidden">
      <selection activeCell="H6" sqref="H6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1"/>
      <headerFooter alignWithMargins="0"/>
    </customSheetView>
    <customSheetView guid="{11E80AD0-6AA7-470D-8311-11AF96F196E5}" fitToPage="1" state="hidden" topLeftCell="A4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2"/>
      <headerFooter alignWithMargins="0"/>
    </customSheetView>
    <customSheetView guid="{1298D0A2-0CF6-434E-A6CD-B210E2963ADD}" fitToPage="1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3"/>
      <headerFooter alignWithMargins="0"/>
    </customSheetView>
  </customSheetViews>
  <mergeCells count="7">
    <mergeCell ref="C202:C203"/>
    <mergeCell ref="A9:D9"/>
    <mergeCell ref="A11:D1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8" fitToHeight="8" orientation="portrait" r:id="rId4"/>
  <headerFooter alignWithMargins="0"/>
  <ignoredErrors>
    <ignoredError sqref="G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6"/>
  <sheetViews>
    <sheetView workbookViewId="0">
      <selection activeCell="B7" sqref="B7"/>
    </sheetView>
  </sheetViews>
  <sheetFormatPr defaultRowHeight="12.75" x14ac:dyDescent="0.2"/>
  <cols>
    <col min="1" max="1" width="7.28515625" customWidth="1"/>
    <col min="2" max="2" width="32.85546875" customWidth="1"/>
    <col min="3" max="3" width="17.28515625" customWidth="1"/>
    <col min="4" max="4" width="15.7109375" style="37" customWidth="1"/>
    <col min="5" max="5" width="17.42578125" customWidth="1"/>
    <col min="6" max="6" width="9" customWidth="1"/>
    <col min="7" max="7" width="11.85546875" customWidth="1"/>
    <col min="9" max="9" width="13.28515625" customWidth="1"/>
    <col min="10" max="11" width="11.7109375" customWidth="1"/>
    <col min="12" max="12" width="12.7109375" customWidth="1"/>
    <col min="13" max="13" width="16" customWidth="1"/>
  </cols>
  <sheetData>
    <row r="1" spans="1:7" ht="19.5" customHeight="1" x14ac:dyDescent="0.2">
      <c r="A1" s="884"/>
      <c r="B1" s="884"/>
      <c r="C1" s="884"/>
      <c r="D1" s="884"/>
      <c r="E1" s="884"/>
    </row>
    <row r="2" spans="1:7" ht="33.75" customHeight="1" x14ac:dyDescent="0.2">
      <c r="A2" s="886" t="s">
        <v>1042</v>
      </c>
      <c r="B2" s="886"/>
      <c r="C2" s="886"/>
      <c r="D2" s="886"/>
      <c r="E2" s="886"/>
    </row>
    <row r="3" spans="1:7" ht="19.5" customHeight="1" x14ac:dyDescent="0.2">
      <c r="A3" s="887" t="s">
        <v>1416</v>
      </c>
      <c r="B3" s="887"/>
      <c r="C3" s="887"/>
      <c r="D3" s="887"/>
      <c r="E3" s="887"/>
    </row>
    <row r="4" spans="1:7" ht="15" x14ac:dyDescent="0.35">
      <c r="A4" s="885" t="s">
        <v>1418</v>
      </c>
      <c r="B4" s="885"/>
      <c r="C4" s="364"/>
      <c r="D4" s="365"/>
      <c r="E4" s="364">
        <v>24861.41</v>
      </c>
    </row>
    <row r="5" spans="1:7" ht="15" x14ac:dyDescent="0.25">
      <c r="A5" s="373">
        <v>44335.5</v>
      </c>
      <c r="B5" s="196" t="s">
        <v>1326</v>
      </c>
      <c r="C5" s="197"/>
      <c r="D5" s="197"/>
      <c r="E5" s="195"/>
    </row>
    <row r="6" spans="1:7" ht="15" x14ac:dyDescent="0.25">
      <c r="A6" s="366" t="s">
        <v>1417</v>
      </c>
      <c r="B6" s="291">
        <f>E4*5.05/A5</f>
        <v>2.8318192080838154</v>
      </c>
      <c r="C6" s="197" t="s">
        <v>1021</v>
      </c>
      <c r="D6" s="197"/>
      <c r="E6" s="195"/>
    </row>
    <row r="7" spans="1:7" ht="15" x14ac:dyDescent="0.25">
      <c r="A7" s="198" t="s">
        <v>1011</v>
      </c>
      <c r="B7" s="198"/>
      <c r="C7" s="198"/>
      <c r="D7" s="198"/>
      <c r="E7" s="195"/>
    </row>
    <row r="8" spans="1:7" ht="15" x14ac:dyDescent="0.25">
      <c r="A8" s="196" t="s">
        <v>1015</v>
      </c>
      <c r="B8" s="196"/>
      <c r="C8" s="196"/>
      <c r="D8" s="196"/>
      <c r="E8" s="195"/>
    </row>
    <row r="9" spans="1:7" ht="15" x14ac:dyDescent="0.25">
      <c r="A9" s="883" t="s">
        <v>1016</v>
      </c>
      <c r="B9" s="883"/>
      <c r="C9" s="883"/>
      <c r="D9" s="883"/>
      <c r="E9" s="199"/>
    </row>
    <row r="10" spans="1:7" ht="15" x14ac:dyDescent="0.25">
      <c r="A10" s="196" t="s">
        <v>1012</v>
      </c>
      <c r="B10" s="196"/>
      <c r="C10" s="196"/>
      <c r="D10" s="196"/>
      <c r="E10" s="199"/>
    </row>
    <row r="11" spans="1:7" ht="15" x14ac:dyDescent="0.25">
      <c r="A11" s="883" t="s">
        <v>1017</v>
      </c>
      <c r="B11" s="883"/>
      <c r="C11" s="883"/>
      <c r="D11" s="883"/>
      <c r="E11" s="200"/>
    </row>
    <row r="12" spans="1:7" ht="15" x14ac:dyDescent="0.25">
      <c r="A12" s="131"/>
      <c r="B12" s="131"/>
      <c r="C12" s="131"/>
      <c r="D12" s="131"/>
      <c r="E12" s="132"/>
      <c r="F12" s="133"/>
    </row>
    <row r="13" spans="1:7" ht="15" x14ac:dyDescent="0.25">
      <c r="B13" s="36"/>
      <c r="C13" s="293" t="s">
        <v>1985</v>
      </c>
    </row>
    <row r="14" spans="1:7" s="34" customFormat="1" ht="25.5" x14ac:dyDescent="0.2">
      <c r="A14" s="33" t="s">
        <v>23</v>
      </c>
      <c r="B14" s="38" t="s">
        <v>24</v>
      </c>
      <c r="C14" s="38"/>
      <c r="D14" s="33" t="s">
        <v>26</v>
      </c>
      <c r="E14" s="39" t="s">
        <v>25</v>
      </c>
      <c r="F14" s="33" t="s">
        <v>1013</v>
      </c>
      <c r="G14" s="33" t="s">
        <v>1014</v>
      </c>
    </row>
    <row r="15" spans="1:7" ht="15" x14ac:dyDescent="0.25">
      <c r="A15" s="35"/>
      <c r="B15" s="40" t="s">
        <v>27</v>
      </c>
      <c r="C15" s="40"/>
      <c r="D15" s="41"/>
      <c r="E15" s="42"/>
      <c r="F15" s="43"/>
      <c r="G15" s="43"/>
    </row>
    <row r="16" spans="1:7" ht="15" x14ac:dyDescent="0.25">
      <c r="A16" s="35"/>
      <c r="B16" s="40" t="s">
        <v>28</v>
      </c>
      <c r="C16" s="40"/>
      <c r="D16" s="35"/>
      <c r="E16" s="42"/>
      <c r="F16" s="43"/>
      <c r="G16" s="43"/>
    </row>
    <row r="17" spans="1:7" ht="15" x14ac:dyDescent="0.25">
      <c r="A17" s="35">
        <v>1</v>
      </c>
      <c r="B17" s="44" t="s">
        <v>29</v>
      </c>
      <c r="C17" s="194" t="s">
        <v>30</v>
      </c>
      <c r="D17" s="43">
        <v>61.9</v>
      </c>
      <c r="E17" s="42">
        <f>D17/$A$5*$E$4</f>
        <v>34.710813659482803</v>
      </c>
      <c r="F17" s="711">
        <v>5.05</v>
      </c>
      <c r="G17" s="43">
        <f>E17*F17</f>
        <v>175.28960898038815</v>
      </c>
    </row>
    <row r="18" spans="1:7" ht="15" x14ac:dyDescent="0.25">
      <c r="A18" s="35">
        <f>A17+1</f>
        <v>2</v>
      </c>
      <c r="B18" s="44" t="s">
        <v>31</v>
      </c>
      <c r="C18" s="194" t="s">
        <v>32</v>
      </c>
      <c r="D18" s="201">
        <v>47.3</v>
      </c>
      <c r="E18" s="42">
        <f t="shared" ref="E18:E35" si="0">D18/$A$5*$E$4</f>
        <v>26.523771988587022</v>
      </c>
      <c r="F18" s="711">
        <v>5.05</v>
      </c>
      <c r="G18" s="43">
        <f t="shared" ref="G18:G84" si="1">E18*F18</f>
        <v>133.94504854236445</v>
      </c>
    </row>
    <row r="19" spans="1:7" ht="15" x14ac:dyDescent="0.25">
      <c r="A19" s="35">
        <f t="shared" ref="A19:A35" si="2">A18+1</f>
        <v>3</v>
      </c>
      <c r="B19" s="44" t="s">
        <v>33</v>
      </c>
      <c r="C19" s="194" t="s">
        <v>34</v>
      </c>
      <c r="D19" s="201">
        <v>60.9</v>
      </c>
      <c r="E19" s="42">
        <f t="shared" si="0"/>
        <v>34.150057380654324</v>
      </c>
      <c r="F19" s="711">
        <v>5.05</v>
      </c>
      <c r="G19" s="43">
        <f t="shared" si="1"/>
        <v>172.45778977230432</v>
      </c>
    </row>
    <row r="20" spans="1:7" ht="15" x14ac:dyDescent="0.25">
      <c r="A20" s="35">
        <f t="shared" si="2"/>
        <v>4</v>
      </c>
      <c r="B20" s="44" t="s">
        <v>35</v>
      </c>
      <c r="C20" s="194" t="s">
        <v>36</v>
      </c>
      <c r="D20" s="201">
        <v>130.80000000000001</v>
      </c>
      <c r="E20" s="42">
        <f t="shared" si="0"/>
        <v>73.346921270764966</v>
      </c>
      <c r="F20" s="711">
        <v>5.05</v>
      </c>
      <c r="G20" s="43">
        <f t="shared" si="1"/>
        <v>370.40195241736308</v>
      </c>
    </row>
    <row r="21" spans="1:7" ht="15" x14ac:dyDescent="0.25">
      <c r="A21" s="35">
        <f t="shared" si="2"/>
        <v>5</v>
      </c>
      <c r="B21" s="44" t="s">
        <v>37</v>
      </c>
      <c r="C21" s="194" t="s">
        <v>38</v>
      </c>
      <c r="D21" s="201">
        <v>107.1</v>
      </c>
      <c r="E21" s="42">
        <f t="shared" si="0"/>
        <v>60.05699746253002</v>
      </c>
      <c r="F21" s="711">
        <v>5.05</v>
      </c>
      <c r="G21" s="43">
        <f t="shared" si="1"/>
        <v>303.2878371857766</v>
      </c>
    </row>
    <row r="22" spans="1:7" ht="15" x14ac:dyDescent="0.25">
      <c r="A22" s="35">
        <f t="shared" si="2"/>
        <v>6</v>
      </c>
      <c r="B22" s="44" t="s">
        <v>39</v>
      </c>
      <c r="C22" s="194" t="s">
        <v>40</v>
      </c>
      <c r="D22" s="201">
        <v>63.6</v>
      </c>
      <c r="E22" s="42">
        <f t="shared" si="0"/>
        <v>35.664099333491222</v>
      </c>
      <c r="F22" s="711">
        <v>5.05</v>
      </c>
      <c r="G22" s="43">
        <f t="shared" si="1"/>
        <v>180.10370163413066</v>
      </c>
    </row>
    <row r="23" spans="1:7" ht="15" x14ac:dyDescent="0.25">
      <c r="A23" s="66">
        <f t="shared" si="2"/>
        <v>7</v>
      </c>
      <c r="B23" s="49" t="s">
        <v>41</v>
      </c>
      <c r="C23" s="264" t="s">
        <v>42</v>
      </c>
      <c r="D23" s="304">
        <v>20.399999999999999</v>
      </c>
      <c r="E23" s="305">
        <f t="shared" si="0"/>
        <v>11.439428088100955</v>
      </c>
      <c r="F23" s="711">
        <v>5.05</v>
      </c>
      <c r="G23" s="304">
        <f t="shared" si="1"/>
        <v>57.769111844909823</v>
      </c>
    </row>
    <row r="24" spans="1:7" ht="15" x14ac:dyDescent="0.25">
      <c r="A24" s="35">
        <f t="shared" si="2"/>
        <v>8</v>
      </c>
      <c r="B24" s="50" t="s">
        <v>43</v>
      </c>
      <c r="C24" s="194" t="s">
        <v>44</v>
      </c>
      <c r="D24" s="43">
        <v>32.299999999999997</v>
      </c>
      <c r="E24" s="42">
        <f t="shared" si="0"/>
        <v>18.112427806159847</v>
      </c>
      <c r="F24" s="711">
        <v>5.05</v>
      </c>
      <c r="G24" s="43">
        <f t="shared" si="1"/>
        <v>91.467760421107229</v>
      </c>
    </row>
    <row r="25" spans="1:7" ht="15" x14ac:dyDescent="0.25">
      <c r="A25" s="35">
        <f t="shared" si="2"/>
        <v>9</v>
      </c>
      <c r="B25" s="47" t="s">
        <v>45</v>
      </c>
      <c r="C25" s="204" t="s">
        <v>46</v>
      </c>
      <c r="D25" s="306">
        <v>69.8</v>
      </c>
      <c r="E25" s="307">
        <f t="shared" si="0"/>
        <v>39.14078826222778</v>
      </c>
      <c r="F25" s="711">
        <v>5.05</v>
      </c>
      <c r="G25" s="306">
        <f t="shared" si="1"/>
        <v>197.66098072425029</v>
      </c>
    </row>
    <row r="26" spans="1:7" ht="15" x14ac:dyDescent="0.25">
      <c r="A26" s="35">
        <f t="shared" si="2"/>
        <v>10</v>
      </c>
      <c r="B26" s="44" t="s">
        <v>47</v>
      </c>
      <c r="C26" s="194" t="s">
        <v>48</v>
      </c>
      <c r="D26" s="43">
        <f>28.95*2</f>
        <v>57.9</v>
      </c>
      <c r="E26" s="42">
        <f t="shared" si="0"/>
        <v>32.46778854416889</v>
      </c>
      <c r="F26" s="711">
        <v>5.05</v>
      </c>
      <c r="G26" s="43">
        <f t="shared" si="1"/>
        <v>163.96233214805289</v>
      </c>
    </row>
    <row r="27" spans="1:7" ht="15" x14ac:dyDescent="0.25">
      <c r="A27" s="35">
        <f t="shared" si="2"/>
        <v>11</v>
      </c>
      <c r="B27" s="44" t="s">
        <v>49</v>
      </c>
      <c r="C27" s="194" t="s">
        <v>50</v>
      </c>
      <c r="D27" s="43">
        <v>78.8</v>
      </c>
      <c r="E27" s="42">
        <f t="shared" si="0"/>
        <v>44.18759477168409</v>
      </c>
      <c r="F27" s="711">
        <v>5.05</v>
      </c>
      <c r="G27" s="43">
        <f t="shared" si="1"/>
        <v>223.14735359700464</v>
      </c>
    </row>
    <row r="28" spans="1:7" ht="15" x14ac:dyDescent="0.25">
      <c r="A28" s="35">
        <f t="shared" si="2"/>
        <v>12</v>
      </c>
      <c r="B28" s="44" t="s">
        <v>51</v>
      </c>
      <c r="C28" s="194" t="s">
        <v>52</v>
      </c>
      <c r="D28" s="43">
        <v>46</v>
      </c>
      <c r="E28" s="42">
        <f t="shared" si="0"/>
        <v>25.794788826110004</v>
      </c>
      <c r="F28" s="711">
        <v>5.05</v>
      </c>
      <c r="G28" s="43">
        <f t="shared" si="1"/>
        <v>130.26368357185552</v>
      </c>
    </row>
    <row r="29" spans="1:7" ht="15.75" thickBot="1" x14ac:dyDescent="0.3">
      <c r="A29" s="35">
        <f t="shared" si="2"/>
        <v>13</v>
      </c>
      <c r="B29" s="46" t="s">
        <v>53</v>
      </c>
      <c r="C29" s="203" t="s">
        <v>989</v>
      </c>
      <c r="D29" s="43">
        <v>7</v>
      </c>
      <c r="E29" s="42">
        <f t="shared" si="0"/>
        <v>3.9252939517993481</v>
      </c>
      <c r="F29" s="711">
        <v>5.05</v>
      </c>
      <c r="G29" s="43">
        <f t="shared" si="1"/>
        <v>19.822734456586709</v>
      </c>
    </row>
    <row r="30" spans="1:7" ht="15.75" thickTop="1" x14ac:dyDescent="0.25">
      <c r="A30" s="35">
        <f t="shared" si="2"/>
        <v>14</v>
      </c>
      <c r="B30" s="47" t="s">
        <v>54</v>
      </c>
      <c r="C30" s="204" t="s">
        <v>55</v>
      </c>
      <c r="D30" s="43">
        <v>201.3</v>
      </c>
      <c r="E30" s="42">
        <f t="shared" si="0"/>
        <v>112.8802389281727</v>
      </c>
      <c r="F30" s="711">
        <v>5.05</v>
      </c>
      <c r="G30" s="43">
        <f t="shared" si="1"/>
        <v>570.04520658727211</v>
      </c>
    </row>
    <row r="31" spans="1:7" ht="15" x14ac:dyDescent="0.25">
      <c r="A31" s="35">
        <f t="shared" si="2"/>
        <v>15</v>
      </c>
      <c r="B31" s="44" t="s">
        <v>56</v>
      </c>
      <c r="C31" s="194" t="s">
        <v>57</v>
      </c>
      <c r="D31" s="43">
        <v>39.200000000000003</v>
      </c>
      <c r="E31" s="42">
        <f t="shared" si="0"/>
        <v>21.981646130076349</v>
      </c>
      <c r="F31" s="711">
        <v>5.05</v>
      </c>
      <c r="G31" s="43">
        <f t="shared" si="1"/>
        <v>111.00731295688556</v>
      </c>
    </row>
    <row r="32" spans="1:7" ht="15" x14ac:dyDescent="0.25">
      <c r="A32" s="35">
        <f t="shared" si="2"/>
        <v>16</v>
      </c>
      <c r="B32" s="49" t="s">
        <v>58</v>
      </c>
      <c r="C32" s="194" t="s">
        <v>59</v>
      </c>
      <c r="D32" s="43">
        <v>45</v>
      </c>
      <c r="E32" s="42">
        <f t="shared" si="0"/>
        <v>25.234032547281526</v>
      </c>
      <c r="F32" s="711">
        <v>5.05</v>
      </c>
      <c r="G32" s="43">
        <f t="shared" si="1"/>
        <v>127.43186436377169</v>
      </c>
    </row>
    <row r="33" spans="1:7" ht="15" x14ac:dyDescent="0.25">
      <c r="A33" s="35">
        <f t="shared" si="2"/>
        <v>17</v>
      </c>
      <c r="B33" s="44" t="s">
        <v>60</v>
      </c>
      <c r="C33" s="194" t="s">
        <v>61</v>
      </c>
      <c r="D33" s="43">
        <v>49.4</v>
      </c>
      <c r="E33" s="42">
        <f t="shared" si="0"/>
        <v>27.70136017412683</v>
      </c>
      <c r="F33" s="711">
        <v>5.05</v>
      </c>
      <c r="G33" s="43">
        <f t="shared" si="1"/>
        <v>139.89186887934048</v>
      </c>
    </row>
    <row r="34" spans="1:7" ht="15" x14ac:dyDescent="0.25">
      <c r="A34" s="35">
        <f t="shared" si="2"/>
        <v>18</v>
      </c>
      <c r="B34" s="44" t="s">
        <v>62</v>
      </c>
      <c r="C34" s="194" t="s">
        <v>63</v>
      </c>
      <c r="D34" s="43">
        <v>112.8</v>
      </c>
      <c r="E34" s="42">
        <f t="shared" si="0"/>
        <v>63.253308251852346</v>
      </c>
      <c r="F34" s="711">
        <v>5.05</v>
      </c>
      <c r="G34" s="43">
        <f t="shared" si="1"/>
        <v>319.42920667185433</v>
      </c>
    </row>
    <row r="35" spans="1:7" ht="15" x14ac:dyDescent="0.25">
      <c r="A35" s="35">
        <f t="shared" si="2"/>
        <v>19</v>
      </c>
      <c r="B35" s="44" t="s">
        <v>64</v>
      </c>
      <c r="C35" s="194" t="s">
        <v>65</v>
      </c>
      <c r="D35" s="43">
        <v>112.2</v>
      </c>
      <c r="E35" s="42">
        <f t="shared" si="0"/>
        <v>62.916854484555266</v>
      </c>
      <c r="F35" s="711">
        <v>5.05</v>
      </c>
      <c r="G35" s="43">
        <f t="shared" si="1"/>
        <v>317.73011514700408</v>
      </c>
    </row>
    <row r="36" spans="1:7" ht="15" x14ac:dyDescent="0.25">
      <c r="A36" s="35"/>
      <c r="B36" s="44"/>
      <c r="C36" s="45"/>
      <c r="D36" s="43">
        <f>SUM(D17:D35)</f>
        <v>1343.7</v>
      </c>
      <c r="E36" s="43">
        <f>SUM(E17:E35)</f>
        <v>753.48821186182636</v>
      </c>
      <c r="F36" s="711">
        <v>5.05</v>
      </c>
      <c r="G36" s="43">
        <f>SUM(G17:G35)</f>
        <v>3805.1154699022227</v>
      </c>
    </row>
    <row r="37" spans="1:7" ht="15" x14ac:dyDescent="0.25">
      <c r="A37" s="35">
        <f>A35+1</f>
        <v>20</v>
      </c>
      <c r="B37" s="50" t="s">
        <v>66</v>
      </c>
      <c r="C37" s="194" t="s">
        <v>1437</v>
      </c>
      <c r="D37" s="43">
        <v>13</v>
      </c>
      <c r="E37" s="42">
        <f t="shared" ref="E37:E44" si="3">D37/$A$5*$E$4</f>
        <v>7.2898316247702182</v>
      </c>
      <c r="F37" s="711">
        <v>5.05</v>
      </c>
      <c r="G37" s="43">
        <f t="shared" ref="G37:G45" si="4">E37*F37</f>
        <v>36.813649705089603</v>
      </c>
    </row>
    <row r="38" spans="1:7" ht="15" x14ac:dyDescent="0.25">
      <c r="A38" s="35">
        <f>A37+1</f>
        <v>21</v>
      </c>
      <c r="B38" s="51" t="s">
        <v>67</v>
      </c>
      <c r="C38" s="194" t="s">
        <v>1438</v>
      </c>
      <c r="D38" s="43">
        <v>50</v>
      </c>
      <c r="E38" s="42">
        <f t="shared" si="3"/>
        <v>28.037813941423916</v>
      </c>
      <c r="F38" s="711">
        <v>5.05</v>
      </c>
      <c r="G38" s="43">
        <f t="shared" si="4"/>
        <v>141.59096040419078</v>
      </c>
    </row>
    <row r="39" spans="1:7" ht="15" x14ac:dyDescent="0.25">
      <c r="A39" s="35">
        <f t="shared" ref="A39:A45" si="5">A38+1</f>
        <v>22</v>
      </c>
      <c r="B39" s="50" t="s">
        <v>68</v>
      </c>
      <c r="C39" s="194" t="s">
        <v>1440</v>
      </c>
      <c r="D39" s="43">
        <v>74.2</v>
      </c>
      <c r="E39" s="42">
        <f t="shared" si="3"/>
        <v>41.60811588907309</v>
      </c>
      <c r="F39" s="711">
        <v>5.05</v>
      </c>
      <c r="G39" s="43">
        <f t="shared" si="4"/>
        <v>210.12098523981911</v>
      </c>
    </row>
    <row r="40" spans="1:7" ht="15" x14ac:dyDescent="0.25">
      <c r="A40" s="35">
        <f t="shared" si="5"/>
        <v>23</v>
      </c>
      <c r="B40" s="50" t="s">
        <v>1344</v>
      </c>
      <c r="C40" s="194" t="s">
        <v>1345</v>
      </c>
      <c r="D40" s="43">
        <v>19.059999999999999</v>
      </c>
      <c r="E40" s="42">
        <f t="shared" si="3"/>
        <v>10.688014674470796</v>
      </c>
      <c r="F40" s="711">
        <v>5.05</v>
      </c>
      <c r="G40" s="43">
        <f>E40*F40</f>
        <v>53.974474106077523</v>
      </c>
    </row>
    <row r="41" spans="1:7" ht="15" x14ac:dyDescent="0.25">
      <c r="A41" s="35">
        <f t="shared" si="5"/>
        <v>24</v>
      </c>
      <c r="B41" s="50" t="s">
        <v>1360</v>
      </c>
      <c r="C41" s="194" t="s">
        <v>1441</v>
      </c>
      <c r="D41" s="43">
        <v>19.059999999999999</v>
      </c>
      <c r="E41" s="42">
        <f t="shared" si="3"/>
        <v>10.688014674470796</v>
      </c>
      <c r="F41" s="711">
        <v>5.05</v>
      </c>
      <c r="G41" s="43">
        <f>E41*F41</f>
        <v>53.974474106077523</v>
      </c>
    </row>
    <row r="42" spans="1:7" ht="15" x14ac:dyDescent="0.25">
      <c r="A42" s="35">
        <f t="shared" si="5"/>
        <v>25</v>
      </c>
      <c r="B42" s="50" t="s">
        <v>1361</v>
      </c>
      <c r="C42" s="194" t="s">
        <v>1355</v>
      </c>
      <c r="D42" s="43">
        <v>19.059999999999999</v>
      </c>
      <c r="E42" s="42"/>
      <c r="F42" s="711">
        <v>5.05</v>
      </c>
      <c r="G42" s="43">
        <f t="shared" si="4"/>
        <v>0</v>
      </c>
    </row>
    <row r="43" spans="1:7" ht="15" x14ac:dyDescent="0.25">
      <c r="A43" s="35">
        <f t="shared" si="5"/>
        <v>26</v>
      </c>
      <c r="B43" s="50" t="s">
        <v>960</v>
      </c>
      <c r="C43" s="194" t="s">
        <v>1355</v>
      </c>
      <c r="D43" s="43">
        <v>74.599999999999994</v>
      </c>
      <c r="E43" s="42"/>
      <c r="F43" s="711">
        <v>5.05</v>
      </c>
      <c r="G43" s="43">
        <f t="shared" si="4"/>
        <v>0</v>
      </c>
    </row>
    <row r="44" spans="1:7" ht="15" x14ac:dyDescent="0.25">
      <c r="A44" s="35">
        <f t="shared" si="5"/>
        <v>27</v>
      </c>
      <c r="B44" s="52" t="s">
        <v>69</v>
      </c>
      <c r="C44" s="194" t="s">
        <v>70</v>
      </c>
      <c r="D44" s="43">
        <v>7</v>
      </c>
      <c r="E44" s="42">
        <f t="shared" si="3"/>
        <v>3.9252939517993481</v>
      </c>
      <c r="F44" s="711">
        <v>5.05</v>
      </c>
      <c r="G44" s="43">
        <f t="shared" si="4"/>
        <v>19.822734456586709</v>
      </c>
    </row>
    <row r="45" spans="1:7" ht="15" x14ac:dyDescent="0.25">
      <c r="A45" s="35">
        <f t="shared" si="5"/>
        <v>28</v>
      </c>
      <c r="B45" s="77" t="s">
        <v>1328</v>
      </c>
      <c r="C45" s="194" t="s">
        <v>1355</v>
      </c>
      <c r="D45" s="251">
        <v>36.700000000000003</v>
      </c>
      <c r="E45" s="265"/>
      <c r="F45" s="711">
        <v>5.05</v>
      </c>
      <c r="G45" s="43">
        <f t="shared" si="4"/>
        <v>0</v>
      </c>
    </row>
    <row r="46" spans="1:7" ht="15" x14ac:dyDescent="0.25">
      <c r="A46" s="76"/>
      <c r="B46" s="77" t="s">
        <v>495</v>
      </c>
      <c r="C46" s="50"/>
      <c r="D46" s="202">
        <f>SUM(D37:D45)</f>
        <v>312.68</v>
      </c>
      <c r="E46" s="202">
        <f>SUM(E37:E45)</f>
        <v>102.23708475600816</v>
      </c>
      <c r="F46" s="711">
        <v>5.05</v>
      </c>
      <c r="G46" s="202">
        <f>SUM(G37:G44)</f>
        <v>516.29727801784122</v>
      </c>
    </row>
    <row r="47" spans="1:7" ht="15" x14ac:dyDescent="0.25">
      <c r="A47" s="76"/>
      <c r="B47" s="77" t="s">
        <v>28</v>
      </c>
      <c r="C47" s="51"/>
      <c r="D47" s="202"/>
      <c r="E47" s="42"/>
      <c r="F47" s="711">
        <v>5.05</v>
      </c>
      <c r="G47" s="78"/>
    </row>
    <row r="48" spans="1:7" ht="15" x14ac:dyDescent="0.25">
      <c r="A48" s="35">
        <v>1</v>
      </c>
      <c r="B48" s="70" t="str">
        <f>'[1]Под 1 и 2'!A6</f>
        <v>1/ 01</v>
      </c>
      <c r="C48" s="79" t="s">
        <v>110</v>
      </c>
      <c r="D48" s="205">
        <v>79.8</v>
      </c>
      <c r="E48" s="42">
        <f t="shared" ref="E48:E93" si="6">D48/$A$5*$E$4</f>
        <v>44.748351050512568</v>
      </c>
      <c r="F48" s="711">
        <v>5.05</v>
      </c>
      <c r="G48" s="43">
        <f>E48*F48</f>
        <v>225.97917280508847</v>
      </c>
    </row>
    <row r="49" spans="1:7" ht="15" x14ac:dyDescent="0.25">
      <c r="A49" s="35">
        <f>A48+1</f>
        <v>2</v>
      </c>
      <c r="B49" s="70" t="str">
        <f>'[1]Под 1 и 2'!A7</f>
        <v>1/ 02</v>
      </c>
      <c r="C49" s="80" t="s">
        <v>111</v>
      </c>
      <c r="D49" s="201">
        <v>47.9</v>
      </c>
      <c r="E49" s="42">
        <f t="shared" si="6"/>
        <v>26.860225755884112</v>
      </c>
      <c r="F49" s="711">
        <v>5.05</v>
      </c>
      <c r="G49" s="43">
        <f t="shared" si="1"/>
        <v>135.64414006721475</v>
      </c>
    </row>
    <row r="50" spans="1:7" ht="15" x14ac:dyDescent="0.25">
      <c r="A50" s="35">
        <f t="shared" ref="A50:A113" si="7">A49+1</f>
        <v>3</v>
      </c>
      <c r="B50" s="70" t="str">
        <f>'[1]Под 1 и 2'!A8</f>
        <v>1/ 03</v>
      </c>
      <c r="C50" s="80" t="s">
        <v>112</v>
      </c>
      <c r="D50" s="201">
        <v>47.8</v>
      </c>
      <c r="E50" s="42">
        <f t="shared" si="6"/>
        <v>26.804150128001261</v>
      </c>
      <c r="F50" s="711">
        <v>5.05</v>
      </c>
      <c r="G50" s="43">
        <f t="shared" si="1"/>
        <v>135.36095814640638</v>
      </c>
    </row>
    <row r="51" spans="1:7" ht="15" x14ac:dyDescent="0.25">
      <c r="A51" s="35">
        <f t="shared" si="7"/>
        <v>4</v>
      </c>
      <c r="B51" s="70" t="str">
        <f>'[1]Под 1 и 2'!A9</f>
        <v>1/ 04</v>
      </c>
      <c r="C51" s="81" t="s">
        <v>113</v>
      </c>
      <c r="D51" s="201">
        <v>110.4</v>
      </c>
      <c r="E51" s="42">
        <f t="shared" si="6"/>
        <v>61.907493182664012</v>
      </c>
      <c r="F51" s="711">
        <v>5.05</v>
      </c>
      <c r="G51" s="43">
        <f t="shared" si="1"/>
        <v>312.63284057245323</v>
      </c>
    </row>
    <row r="52" spans="1:7" ht="15.75" thickBot="1" x14ac:dyDescent="0.3">
      <c r="A52" s="35">
        <f t="shared" si="7"/>
        <v>5</v>
      </c>
      <c r="B52" s="70" t="str">
        <f>'[1]Под 1 и 2'!A10</f>
        <v>1/ 05</v>
      </c>
      <c r="C52" s="82" t="s">
        <v>114</v>
      </c>
      <c r="D52" s="201">
        <f>79.5</f>
        <v>79.5</v>
      </c>
      <c r="E52" s="42">
        <f t="shared" si="6"/>
        <v>44.580124166864024</v>
      </c>
      <c r="F52" s="711">
        <v>5.05</v>
      </c>
      <c r="G52" s="43">
        <f t="shared" si="1"/>
        <v>225.12962704266332</v>
      </c>
    </row>
    <row r="53" spans="1:7" ht="15.75" thickBot="1" x14ac:dyDescent="0.3">
      <c r="A53" s="35">
        <f t="shared" si="7"/>
        <v>6</v>
      </c>
      <c r="B53" s="70" t="str">
        <f>'[1]Под 1 и 2'!A11</f>
        <v>1/ 06</v>
      </c>
      <c r="C53" s="150" t="s">
        <v>963</v>
      </c>
      <c r="D53" s="201">
        <v>48.4</v>
      </c>
      <c r="E53" s="42">
        <f t="shared" si="6"/>
        <v>27.140603895298351</v>
      </c>
      <c r="F53" s="711">
        <v>5.05</v>
      </c>
      <c r="G53" s="43">
        <f t="shared" si="1"/>
        <v>137.06004967125668</v>
      </c>
    </row>
    <row r="54" spans="1:7" ht="15" x14ac:dyDescent="0.25">
      <c r="A54" s="35">
        <f t="shared" si="7"/>
        <v>7</v>
      </c>
      <c r="B54" s="70" t="str">
        <f>'[1]Под 1 и 2'!A12</f>
        <v>1/ 07</v>
      </c>
      <c r="C54" s="83" t="s">
        <v>115</v>
      </c>
      <c r="D54" s="201">
        <v>48.3</v>
      </c>
      <c r="E54" s="42">
        <f t="shared" si="6"/>
        <v>27.0845282674155</v>
      </c>
      <c r="F54" s="711">
        <v>5.05</v>
      </c>
      <c r="G54" s="43">
        <f t="shared" si="1"/>
        <v>136.77686775044828</v>
      </c>
    </row>
    <row r="55" spans="1:7" ht="15" x14ac:dyDescent="0.25">
      <c r="A55" s="35">
        <f t="shared" si="7"/>
        <v>8</v>
      </c>
      <c r="B55" s="70" t="str">
        <f>'[1]Под 1 и 2'!A13</f>
        <v>1/ 08</v>
      </c>
      <c r="C55" s="83" t="s">
        <v>116</v>
      </c>
      <c r="D55" s="201">
        <v>110</v>
      </c>
      <c r="E55" s="42">
        <f t="shared" si="6"/>
        <v>61.683190671132607</v>
      </c>
      <c r="F55" s="711">
        <v>5.05</v>
      </c>
      <c r="G55" s="43">
        <f t="shared" si="1"/>
        <v>311.50011288921968</v>
      </c>
    </row>
    <row r="56" spans="1:7" ht="15" x14ac:dyDescent="0.25">
      <c r="A56" s="35">
        <f t="shared" si="7"/>
        <v>9</v>
      </c>
      <c r="B56" s="70" t="str">
        <f>'[1]Под 1 и 2'!A14</f>
        <v>1/ 09</v>
      </c>
      <c r="C56" s="83" t="s">
        <v>117</v>
      </c>
      <c r="D56" s="201">
        <v>79.5</v>
      </c>
      <c r="E56" s="42">
        <f t="shared" si="6"/>
        <v>44.580124166864024</v>
      </c>
      <c r="F56" s="711">
        <v>5.05</v>
      </c>
      <c r="G56" s="43">
        <f t="shared" si="1"/>
        <v>225.12962704266332</v>
      </c>
    </row>
    <row r="57" spans="1:7" ht="15" x14ac:dyDescent="0.25">
      <c r="A57" s="35">
        <f t="shared" si="7"/>
        <v>10</v>
      </c>
      <c r="B57" s="70" t="str">
        <f>'[1]Под 1 и 2'!A15</f>
        <v>1/ 10</v>
      </c>
      <c r="C57" s="83" t="s">
        <v>118</v>
      </c>
      <c r="D57" s="201">
        <v>53.5</v>
      </c>
      <c r="E57" s="42">
        <f t="shared" si="6"/>
        <v>30.00046091732359</v>
      </c>
      <c r="F57" s="711">
        <v>5.05</v>
      </c>
      <c r="G57" s="43">
        <f t="shared" si="1"/>
        <v>151.50232763248411</v>
      </c>
    </row>
    <row r="58" spans="1:7" ht="15" x14ac:dyDescent="0.25">
      <c r="A58" s="35">
        <f t="shared" si="7"/>
        <v>11</v>
      </c>
      <c r="B58" s="70" t="str">
        <f>'[1]Под 1 и 2'!A16</f>
        <v>1/ 11</v>
      </c>
      <c r="C58" s="80" t="s">
        <v>119</v>
      </c>
      <c r="D58" s="201">
        <v>48.3</v>
      </c>
      <c r="E58" s="42">
        <f t="shared" si="6"/>
        <v>27.0845282674155</v>
      </c>
      <c r="F58" s="711">
        <v>5.05</v>
      </c>
      <c r="G58" s="43">
        <f t="shared" si="1"/>
        <v>136.77686775044828</v>
      </c>
    </row>
    <row r="59" spans="1:7" ht="15" x14ac:dyDescent="0.25">
      <c r="A59" s="35">
        <f t="shared" si="7"/>
        <v>12</v>
      </c>
      <c r="B59" s="70" t="str">
        <f>'[1]Под 1 и 2'!A17</f>
        <v>1/ 12</v>
      </c>
      <c r="C59" s="35" t="s">
        <v>120</v>
      </c>
      <c r="D59" s="201">
        <f>110.4</f>
        <v>110.4</v>
      </c>
      <c r="E59" s="42">
        <f t="shared" si="6"/>
        <v>61.907493182664012</v>
      </c>
      <c r="F59" s="711">
        <v>5.05</v>
      </c>
      <c r="G59" s="43">
        <f t="shared" si="1"/>
        <v>312.63284057245323</v>
      </c>
    </row>
    <row r="60" spans="1:7" ht="15" x14ac:dyDescent="0.25">
      <c r="A60" s="35">
        <f t="shared" si="7"/>
        <v>13</v>
      </c>
      <c r="B60" s="70" t="str">
        <f>'[1]Под 1 и 2'!A18</f>
        <v>1/ 13</v>
      </c>
      <c r="C60" s="83" t="s">
        <v>121</v>
      </c>
      <c r="D60" s="201">
        <v>79.7</v>
      </c>
      <c r="E60" s="42">
        <f t="shared" si="6"/>
        <v>44.69227542262972</v>
      </c>
      <c r="F60" s="711">
        <v>5.05</v>
      </c>
      <c r="G60" s="43">
        <f t="shared" si="1"/>
        <v>225.69599088428006</v>
      </c>
    </row>
    <row r="61" spans="1:7" ht="15" x14ac:dyDescent="0.25">
      <c r="A61" s="35">
        <f t="shared" si="7"/>
        <v>14</v>
      </c>
      <c r="B61" s="70" t="str">
        <f>'[1]Под 1 и 2'!A19</f>
        <v>1/ 14</v>
      </c>
      <c r="C61" s="83" t="s">
        <v>122</v>
      </c>
      <c r="D61" s="201">
        <v>48.2</v>
      </c>
      <c r="E61" s="42">
        <f t="shared" si="6"/>
        <v>27.028452639532656</v>
      </c>
      <c r="F61" s="711">
        <v>5.05</v>
      </c>
      <c r="G61" s="43">
        <f t="shared" si="1"/>
        <v>136.4936858296399</v>
      </c>
    </row>
    <row r="62" spans="1:7" ht="15" x14ac:dyDescent="0.25">
      <c r="A62" s="35">
        <f t="shared" si="7"/>
        <v>15</v>
      </c>
      <c r="B62" s="70" t="str">
        <f>'[1]Под 1 и 2'!A20</f>
        <v>1/ 15</v>
      </c>
      <c r="C62" s="81" t="s">
        <v>123</v>
      </c>
      <c r="D62" s="201">
        <v>48.3</v>
      </c>
      <c r="E62" s="42">
        <f t="shared" si="6"/>
        <v>27.0845282674155</v>
      </c>
      <c r="F62" s="711">
        <v>5.05</v>
      </c>
      <c r="G62" s="43">
        <f t="shared" si="1"/>
        <v>136.77686775044828</v>
      </c>
    </row>
    <row r="63" spans="1:7" ht="15" x14ac:dyDescent="0.25">
      <c r="A63" s="35">
        <f t="shared" si="7"/>
        <v>16</v>
      </c>
      <c r="B63" s="70" t="str">
        <f>'[1]Под 1 и 2'!A21</f>
        <v>1/ 16</v>
      </c>
      <c r="C63" s="83" t="s">
        <v>124</v>
      </c>
      <c r="D63" s="201">
        <v>110.4</v>
      </c>
      <c r="E63" s="42">
        <f t="shared" si="6"/>
        <v>61.907493182664012</v>
      </c>
      <c r="F63" s="711">
        <v>5.05</v>
      </c>
      <c r="G63" s="43">
        <f t="shared" si="1"/>
        <v>312.63284057245323</v>
      </c>
    </row>
    <row r="64" spans="1:7" ht="15" x14ac:dyDescent="0.25">
      <c r="A64" s="35">
        <f t="shared" si="7"/>
        <v>17</v>
      </c>
      <c r="B64" s="70" t="str">
        <f>'[1]Под 1 и 2'!A22</f>
        <v>1/ 17</v>
      </c>
      <c r="C64" s="83" t="s">
        <v>125</v>
      </c>
      <c r="D64" s="201">
        <v>79.3</v>
      </c>
      <c r="E64" s="42">
        <f t="shared" si="6"/>
        <v>44.467972911098329</v>
      </c>
      <c r="F64" s="711">
        <v>5.05</v>
      </c>
      <c r="G64" s="43">
        <f t="shared" si="1"/>
        <v>224.56326320104654</v>
      </c>
    </row>
    <row r="65" spans="1:7" ht="15" x14ac:dyDescent="0.25">
      <c r="A65" s="35">
        <f t="shared" si="7"/>
        <v>18</v>
      </c>
      <c r="B65" s="70" t="str">
        <f>'[1]Под 1 и 2'!A23</f>
        <v>1/ 18</v>
      </c>
      <c r="C65" s="83" t="s">
        <v>126</v>
      </c>
      <c r="D65" s="201">
        <f>50.5</f>
        <v>50.5</v>
      </c>
      <c r="E65" s="42">
        <f t="shared" si="6"/>
        <v>28.318192080838156</v>
      </c>
      <c r="F65" s="711">
        <v>5.05</v>
      </c>
      <c r="G65" s="43">
        <f t="shared" si="1"/>
        <v>143.00687000823268</v>
      </c>
    </row>
    <row r="66" spans="1:7" ht="15" x14ac:dyDescent="0.25">
      <c r="A66" s="35">
        <f t="shared" si="7"/>
        <v>19</v>
      </c>
      <c r="B66" s="70" t="str">
        <f>'[1]Под 1 и 2'!A24</f>
        <v>1/ 19</v>
      </c>
      <c r="C66" s="83" t="s">
        <v>127</v>
      </c>
      <c r="D66" s="201">
        <v>48</v>
      </c>
      <c r="E66" s="42">
        <f t="shared" si="6"/>
        <v>26.916301383766957</v>
      </c>
      <c r="F66" s="711">
        <v>5.05</v>
      </c>
      <c r="G66" s="43">
        <f t="shared" si="1"/>
        <v>135.92732198802312</v>
      </c>
    </row>
    <row r="67" spans="1:7" ht="15" x14ac:dyDescent="0.25">
      <c r="A67" s="35">
        <f t="shared" si="7"/>
        <v>20</v>
      </c>
      <c r="B67" s="70" t="str">
        <f>'[1]Под 1 и 2'!A25</f>
        <v>1/ 20</v>
      </c>
      <c r="C67" s="84" t="s">
        <v>128</v>
      </c>
      <c r="D67" s="201">
        <v>110.8</v>
      </c>
      <c r="E67" s="42">
        <f t="shared" si="6"/>
        <v>62.131795694195397</v>
      </c>
      <c r="F67" s="711">
        <v>5.05</v>
      </c>
      <c r="G67" s="43">
        <f t="shared" si="1"/>
        <v>313.76556825568673</v>
      </c>
    </row>
    <row r="68" spans="1:7" ht="15" x14ac:dyDescent="0.25">
      <c r="A68" s="35">
        <f t="shared" si="7"/>
        <v>21</v>
      </c>
      <c r="B68" s="70" t="str">
        <f>'[1]Под 1 и 2'!A26</f>
        <v>1/ 21</v>
      </c>
      <c r="C68" s="84" t="s">
        <v>129</v>
      </c>
      <c r="D68" s="201">
        <v>79.400000000000006</v>
      </c>
      <c r="E68" s="42">
        <f t="shared" si="6"/>
        <v>44.524048538981177</v>
      </c>
      <c r="F68" s="711">
        <v>5.05</v>
      </c>
      <c r="G68" s="43">
        <f t="shared" si="1"/>
        <v>224.84644512185494</v>
      </c>
    </row>
    <row r="69" spans="1:7" ht="15" x14ac:dyDescent="0.25">
      <c r="A69" s="35">
        <f t="shared" si="7"/>
        <v>22</v>
      </c>
      <c r="B69" s="70" t="str">
        <f>'[1]Под 1 и 2'!A27</f>
        <v>1/ 22</v>
      </c>
      <c r="C69" s="84" t="s">
        <v>130</v>
      </c>
      <c r="D69" s="201">
        <v>51.8</v>
      </c>
      <c r="E69" s="42">
        <f t="shared" si="6"/>
        <v>29.047175243315177</v>
      </c>
      <c r="F69" s="711">
        <v>5.05</v>
      </c>
      <c r="G69" s="43">
        <f t="shared" si="1"/>
        <v>146.68823497874163</v>
      </c>
    </row>
    <row r="70" spans="1:7" ht="15" x14ac:dyDescent="0.25">
      <c r="A70" s="35">
        <f t="shared" si="7"/>
        <v>23</v>
      </c>
      <c r="B70" s="70" t="str">
        <f>'[1]Под 1 и 2'!A28</f>
        <v>1/ 23</v>
      </c>
      <c r="C70" s="84" t="s">
        <v>131</v>
      </c>
      <c r="D70" s="201">
        <v>48.3</v>
      </c>
      <c r="E70" s="42">
        <f t="shared" si="6"/>
        <v>27.0845282674155</v>
      </c>
      <c r="F70" s="711">
        <v>5.05</v>
      </c>
      <c r="G70" s="43">
        <f t="shared" si="1"/>
        <v>136.77686775044828</v>
      </c>
    </row>
    <row r="71" spans="1:7" ht="15" x14ac:dyDescent="0.25">
      <c r="A71" s="35">
        <f t="shared" si="7"/>
        <v>24</v>
      </c>
      <c r="B71" s="70" t="str">
        <f>'[1]Под 1 и 2'!A29</f>
        <v>1/ 24</v>
      </c>
      <c r="C71" s="84" t="s">
        <v>132</v>
      </c>
      <c r="D71" s="201">
        <v>110.8</v>
      </c>
      <c r="E71" s="42">
        <f t="shared" si="6"/>
        <v>62.131795694195397</v>
      </c>
      <c r="F71" s="711">
        <v>5.05</v>
      </c>
      <c r="G71" s="43">
        <f t="shared" si="1"/>
        <v>313.76556825568673</v>
      </c>
    </row>
    <row r="72" spans="1:7" ht="15" x14ac:dyDescent="0.25">
      <c r="A72" s="35">
        <f t="shared" si="7"/>
        <v>25</v>
      </c>
      <c r="B72" s="70" t="str">
        <f>'[1]Под 1 и 2'!A30</f>
        <v>1/ 25</v>
      </c>
      <c r="C72" s="85" t="s">
        <v>133</v>
      </c>
      <c r="D72" s="201">
        <v>80.2</v>
      </c>
      <c r="E72" s="42">
        <f t="shared" si="6"/>
        <v>44.972653562043959</v>
      </c>
      <c r="F72" s="711">
        <v>5.05</v>
      </c>
      <c r="G72" s="43">
        <f t="shared" si="1"/>
        <v>227.11190048832199</v>
      </c>
    </row>
    <row r="73" spans="1:7" ht="15" x14ac:dyDescent="0.25">
      <c r="A73" s="35">
        <f t="shared" si="7"/>
        <v>26</v>
      </c>
      <c r="B73" s="70" t="str">
        <f>'[1]Под 1 и 2'!A31</f>
        <v>1/ 26</v>
      </c>
      <c r="C73" s="84" t="s">
        <v>134</v>
      </c>
      <c r="D73" s="201">
        <v>48.6</v>
      </c>
      <c r="E73" s="42">
        <f t="shared" si="6"/>
        <v>27.252755151064047</v>
      </c>
      <c r="F73" s="711">
        <v>5.05</v>
      </c>
      <c r="G73" s="43">
        <f t="shared" si="1"/>
        <v>137.62641351287343</v>
      </c>
    </row>
    <row r="74" spans="1:7" ht="15" x14ac:dyDescent="0.25">
      <c r="A74" s="35">
        <f t="shared" si="7"/>
        <v>27</v>
      </c>
      <c r="B74" s="70" t="str">
        <f>'[1]Под 1 и 2'!A32</f>
        <v>1/ 27</v>
      </c>
      <c r="C74" s="85" t="s">
        <v>135</v>
      </c>
      <c r="D74" s="201">
        <v>48.4</v>
      </c>
      <c r="E74" s="42">
        <f t="shared" si="6"/>
        <v>27.140603895298351</v>
      </c>
      <c r="F74" s="711">
        <v>5.05</v>
      </c>
      <c r="G74" s="43">
        <f t="shared" si="1"/>
        <v>137.06004967125668</v>
      </c>
    </row>
    <row r="75" spans="1:7" ht="15" x14ac:dyDescent="0.25">
      <c r="A75" s="35">
        <f t="shared" si="7"/>
        <v>28</v>
      </c>
      <c r="B75" s="70" t="str">
        <f>'[1]Под 1 и 2'!A33</f>
        <v>1/ 28</v>
      </c>
      <c r="C75" s="86" t="s">
        <v>136</v>
      </c>
      <c r="D75" s="201">
        <v>109.9</v>
      </c>
      <c r="E75" s="42">
        <f t="shared" si="6"/>
        <v>61.627115043249773</v>
      </c>
      <c r="F75" s="711">
        <v>5.05</v>
      </c>
      <c r="G75" s="43">
        <f t="shared" si="1"/>
        <v>311.21693096841136</v>
      </c>
    </row>
    <row r="76" spans="1:7" ht="15" x14ac:dyDescent="0.25">
      <c r="A76" s="35">
        <f t="shared" si="7"/>
        <v>29</v>
      </c>
      <c r="B76" s="70" t="str">
        <f>'[1]Под 1 и 2'!A34</f>
        <v>1/ 29</v>
      </c>
      <c r="C76" s="86" t="s">
        <v>137</v>
      </c>
      <c r="D76" s="201">
        <v>79.3</v>
      </c>
      <c r="E76" s="42">
        <f t="shared" si="6"/>
        <v>44.467972911098329</v>
      </c>
      <c r="F76" s="711">
        <v>5.05</v>
      </c>
      <c r="G76" s="43">
        <f t="shared" si="1"/>
        <v>224.56326320104654</v>
      </c>
    </row>
    <row r="77" spans="1:7" ht="15" x14ac:dyDescent="0.25">
      <c r="A77" s="35">
        <f t="shared" si="7"/>
        <v>30</v>
      </c>
      <c r="B77" s="70" t="str">
        <f>'[1]Под 1 и 2'!A35</f>
        <v>1/ 30</v>
      </c>
      <c r="C77" s="86" t="s">
        <v>138</v>
      </c>
      <c r="D77" s="201">
        <v>48.4</v>
      </c>
      <c r="E77" s="42">
        <f t="shared" si="6"/>
        <v>27.140603895298351</v>
      </c>
      <c r="F77" s="711">
        <v>5.05</v>
      </c>
      <c r="G77" s="43">
        <f t="shared" si="1"/>
        <v>137.06004967125668</v>
      </c>
    </row>
    <row r="78" spans="1:7" ht="15" x14ac:dyDescent="0.25">
      <c r="A78" s="35">
        <f t="shared" si="7"/>
        <v>31</v>
      </c>
      <c r="B78" s="70" t="str">
        <f>'[1]Под 1 и 2'!A36</f>
        <v>1/ 31</v>
      </c>
      <c r="C78" s="86" t="s">
        <v>139</v>
      </c>
      <c r="D78" s="201">
        <v>48.2</v>
      </c>
      <c r="E78" s="42">
        <f t="shared" si="6"/>
        <v>27.028452639532656</v>
      </c>
      <c r="F78" s="711">
        <v>5.05</v>
      </c>
      <c r="G78" s="43">
        <f t="shared" si="1"/>
        <v>136.4936858296399</v>
      </c>
    </row>
    <row r="79" spans="1:7" ht="15" x14ac:dyDescent="0.25">
      <c r="A79" s="35">
        <f t="shared" si="7"/>
        <v>32</v>
      </c>
      <c r="B79" s="70" t="str">
        <f>'[1]Под 1 и 2'!A37</f>
        <v>1/ 32</v>
      </c>
      <c r="C79" s="86" t="s">
        <v>140</v>
      </c>
      <c r="D79" s="201">
        <v>110.4</v>
      </c>
      <c r="E79" s="42">
        <f t="shared" si="6"/>
        <v>61.907493182664012</v>
      </c>
      <c r="F79" s="711">
        <v>5.05</v>
      </c>
      <c r="G79" s="43">
        <f t="shared" si="1"/>
        <v>312.63284057245323</v>
      </c>
    </row>
    <row r="80" spans="1:7" ht="15" x14ac:dyDescent="0.25">
      <c r="A80" s="35">
        <f t="shared" si="7"/>
        <v>33</v>
      </c>
      <c r="B80" s="70" t="str">
        <f>'[1]Под 1 и 2'!A38</f>
        <v>1/ 33</v>
      </c>
      <c r="C80" s="87" t="s">
        <v>141</v>
      </c>
      <c r="D80" s="201">
        <v>78.8</v>
      </c>
      <c r="E80" s="42">
        <f t="shared" si="6"/>
        <v>44.18759477168409</v>
      </c>
      <c r="F80" s="711">
        <v>5.05</v>
      </c>
      <c r="G80" s="43">
        <f t="shared" si="1"/>
        <v>223.14735359700464</v>
      </c>
    </row>
    <row r="81" spans="1:13" ht="15" x14ac:dyDescent="0.25">
      <c r="A81" s="35">
        <f t="shared" si="7"/>
        <v>34</v>
      </c>
      <c r="B81" s="70" t="str">
        <f>'[1]Под 1 и 2'!A39</f>
        <v>1/ 34</v>
      </c>
      <c r="C81" s="87" t="s">
        <v>142</v>
      </c>
      <c r="D81" s="201">
        <v>50.3</v>
      </c>
      <c r="E81" s="42">
        <f t="shared" si="6"/>
        <v>28.206040825072453</v>
      </c>
      <c r="F81" s="711">
        <v>5.05</v>
      </c>
      <c r="G81" s="43">
        <f t="shared" si="1"/>
        <v>142.44050616661588</v>
      </c>
    </row>
    <row r="82" spans="1:13" ht="15" x14ac:dyDescent="0.25">
      <c r="A82" s="35">
        <f t="shared" si="7"/>
        <v>35</v>
      </c>
      <c r="B82" s="70" t="str">
        <f>'[1]Под 1 и 2'!A40</f>
        <v>1/ 35</v>
      </c>
      <c r="C82" s="87" t="s">
        <v>143</v>
      </c>
      <c r="D82" s="201">
        <v>49.1</v>
      </c>
      <c r="E82" s="42">
        <f t="shared" si="6"/>
        <v>27.533133290478286</v>
      </c>
      <c r="F82" s="711">
        <v>5.05</v>
      </c>
      <c r="G82" s="43">
        <f t="shared" si="1"/>
        <v>139.04232311691533</v>
      </c>
    </row>
    <row r="83" spans="1:13" ht="15" x14ac:dyDescent="0.25">
      <c r="A83" s="35">
        <f t="shared" si="7"/>
        <v>36</v>
      </c>
      <c r="B83" s="70" t="str">
        <f>'[1]Под 1 и 2'!A41</f>
        <v>1/ 36</v>
      </c>
      <c r="C83" s="87" t="s">
        <v>144</v>
      </c>
      <c r="D83" s="201">
        <v>109.1</v>
      </c>
      <c r="E83" s="42">
        <f t="shared" si="6"/>
        <v>61.178510020186977</v>
      </c>
      <c r="F83" s="711">
        <v>5.05</v>
      </c>
      <c r="G83" s="43">
        <f t="shared" si="1"/>
        <v>308.9514756019442</v>
      </c>
    </row>
    <row r="84" spans="1:13" ht="15" x14ac:dyDescent="0.25">
      <c r="A84" s="35">
        <f t="shared" si="7"/>
        <v>37</v>
      </c>
      <c r="B84" s="70" t="str">
        <f>'[1]Под 1 и 2'!A42</f>
        <v>1/ 37</v>
      </c>
      <c r="C84" s="87" t="s">
        <v>145</v>
      </c>
      <c r="D84" s="201">
        <v>78.3</v>
      </c>
      <c r="E84" s="42">
        <f t="shared" si="6"/>
        <v>43.907216632269851</v>
      </c>
      <c r="F84" s="711">
        <v>5.05</v>
      </c>
      <c r="G84" s="43">
        <f t="shared" si="1"/>
        <v>221.73144399296274</v>
      </c>
    </row>
    <row r="85" spans="1:13" ht="15" x14ac:dyDescent="0.25">
      <c r="A85" s="35">
        <f t="shared" si="7"/>
        <v>38</v>
      </c>
      <c r="B85" s="70" t="str">
        <f>'[1]Под 1 и 2'!A43</f>
        <v>1/ 38</v>
      </c>
      <c r="C85" s="88" t="s">
        <v>146</v>
      </c>
      <c r="D85" s="201">
        <v>49.1</v>
      </c>
      <c r="E85" s="42">
        <f t="shared" si="6"/>
        <v>27.533133290478286</v>
      </c>
      <c r="F85" s="711">
        <v>5.05</v>
      </c>
      <c r="G85" s="43">
        <f t="shared" ref="G85:G148" si="8">E85*F85</f>
        <v>139.04232311691533</v>
      </c>
    </row>
    <row r="86" spans="1:13" ht="15" x14ac:dyDescent="0.25">
      <c r="A86" s="35">
        <f t="shared" si="7"/>
        <v>39</v>
      </c>
      <c r="B86" s="70" t="str">
        <f>'[1]Под 1 и 2'!A44</f>
        <v>1/ 39</v>
      </c>
      <c r="C86" s="88" t="s">
        <v>147</v>
      </c>
      <c r="D86" s="201">
        <v>48.6</v>
      </c>
      <c r="E86" s="42">
        <f t="shared" si="6"/>
        <v>27.252755151064047</v>
      </c>
      <c r="F86" s="711">
        <v>5.05</v>
      </c>
      <c r="G86" s="43">
        <f t="shared" si="8"/>
        <v>137.62641351287343</v>
      </c>
    </row>
    <row r="87" spans="1:13" ht="15" x14ac:dyDescent="0.25">
      <c r="A87" s="35">
        <f t="shared" si="7"/>
        <v>40</v>
      </c>
      <c r="B87" s="70" t="str">
        <f>'[1]Под 1 и 2'!A45</f>
        <v>1/ 40</v>
      </c>
      <c r="C87" s="88" t="s">
        <v>148</v>
      </c>
      <c r="D87" s="201">
        <v>109.9</v>
      </c>
      <c r="E87" s="42">
        <f t="shared" si="6"/>
        <v>61.627115043249773</v>
      </c>
      <c r="F87" s="711">
        <v>5.05</v>
      </c>
      <c r="G87" s="43">
        <f t="shared" si="8"/>
        <v>311.21693096841136</v>
      </c>
    </row>
    <row r="88" spans="1:13" ht="15" x14ac:dyDescent="0.25">
      <c r="A88" s="35">
        <f t="shared" si="7"/>
        <v>41</v>
      </c>
      <c r="B88" s="70" t="str">
        <f>'[1]Под 1 и 2'!A46</f>
        <v>1/ 41</v>
      </c>
      <c r="C88" s="87" t="s">
        <v>149</v>
      </c>
      <c r="D88" s="201">
        <v>78.7</v>
      </c>
      <c r="E88" s="42">
        <f t="shared" si="6"/>
        <v>44.131519143801242</v>
      </c>
      <c r="F88" s="711">
        <v>5.05</v>
      </c>
      <c r="G88" s="43">
        <f t="shared" si="8"/>
        <v>222.86417167619626</v>
      </c>
    </row>
    <row r="89" spans="1:13" ht="15" x14ac:dyDescent="0.25">
      <c r="A89" s="35">
        <f t="shared" si="7"/>
        <v>42</v>
      </c>
      <c r="B89" s="70" t="str">
        <f>'[1]Под 1 и 2'!A47</f>
        <v>1/ 42</v>
      </c>
      <c r="C89" s="88" t="s">
        <v>150</v>
      </c>
      <c r="D89" s="201">
        <v>54.3</v>
      </c>
      <c r="E89" s="42">
        <f t="shared" si="6"/>
        <v>30.449065940386369</v>
      </c>
      <c r="F89" s="711">
        <v>5.05</v>
      </c>
      <c r="G89" s="43">
        <f t="shared" si="8"/>
        <v>153.76778299895116</v>
      </c>
    </row>
    <row r="90" spans="1:13" ht="15" x14ac:dyDescent="0.25">
      <c r="A90" s="35">
        <f t="shared" si="7"/>
        <v>43</v>
      </c>
      <c r="B90" s="70" t="str">
        <f>'[1]Под 1 и 2'!A48</f>
        <v>1/ 43</v>
      </c>
      <c r="C90" s="87" t="s">
        <v>151</v>
      </c>
      <c r="D90" s="201">
        <v>50.1</v>
      </c>
      <c r="E90" s="42">
        <f t="shared" si="6"/>
        <v>28.093889569306764</v>
      </c>
      <c r="F90" s="711">
        <v>5.05</v>
      </c>
      <c r="G90" s="43">
        <f t="shared" si="8"/>
        <v>141.87414232499916</v>
      </c>
    </row>
    <row r="91" spans="1:13" ht="15" x14ac:dyDescent="0.25">
      <c r="A91" s="35">
        <f t="shared" si="7"/>
        <v>44</v>
      </c>
      <c r="B91" s="70" t="str">
        <f>'[1]Под 1 и 2'!A49</f>
        <v>1/ 44</v>
      </c>
      <c r="C91" s="87" t="s">
        <v>152</v>
      </c>
      <c r="D91" s="201">
        <v>114.1</v>
      </c>
      <c r="E91" s="42">
        <f t="shared" si="6"/>
        <v>63.982291414329374</v>
      </c>
      <c r="F91" s="711">
        <v>5.05</v>
      </c>
      <c r="G91" s="43">
        <f t="shared" si="8"/>
        <v>323.11057164236331</v>
      </c>
    </row>
    <row r="92" spans="1:13" ht="15" x14ac:dyDescent="0.25">
      <c r="A92" s="35">
        <f t="shared" si="7"/>
        <v>45</v>
      </c>
      <c r="B92" s="70" t="str">
        <f>'[1]Под 1 и 2'!A50</f>
        <v>1/ 45</v>
      </c>
      <c r="C92" s="87" t="s">
        <v>153</v>
      </c>
      <c r="D92" s="201">
        <v>81.2</v>
      </c>
      <c r="E92" s="42">
        <f t="shared" si="6"/>
        <v>45.533409840872444</v>
      </c>
      <c r="F92" s="711">
        <v>5.05</v>
      </c>
      <c r="G92" s="43">
        <f t="shared" si="8"/>
        <v>229.94371969640585</v>
      </c>
    </row>
    <row r="93" spans="1:13" ht="15" x14ac:dyDescent="0.25">
      <c r="A93" s="35">
        <f t="shared" si="7"/>
        <v>46</v>
      </c>
      <c r="B93" s="70" t="str">
        <f>'[1]Под 1 и 2'!A51</f>
        <v>1/ 46</v>
      </c>
      <c r="C93" s="86" t="s">
        <v>154</v>
      </c>
      <c r="D93" s="201">
        <v>47.9</v>
      </c>
      <c r="E93" s="42">
        <f t="shared" si="6"/>
        <v>26.860225755884112</v>
      </c>
      <c r="F93" s="711">
        <v>5.05</v>
      </c>
      <c r="G93" s="43">
        <f t="shared" si="8"/>
        <v>135.64414006721475</v>
      </c>
      <c r="J93" t="s">
        <v>1646</v>
      </c>
    </row>
    <row r="94" spans="1:13" ht="39" x14ac:dyDescent="0.25">
      <c r="A94" s="35">
        <f t="shared" si="7"/>
        <v>47</v>
      </c>
      <c r="B94" s="70" t="str">
        <f>'[1]Под 1 и 2'!A52</f>
        <v>1/ 47</v>
      </c>
      <c r="C94" s="86" t="s">
        <v>155</v>
      </c>
      <c r="D94" s="201">
        <v>50.6</v>
      </c>
      <c r="E94" s="42">
        <f>D94/$A$5*$E$4</f>
        <v>28.374267708721003</v>
      </c>
      <c r="F94" s="711">
        <v>5.05</v>
      </c>
      <c r="G94" s="43">
        <f t="shared" si="8"/>
        <v>143.29005192904106</v>
      </c>
      <c r="I94" s="35" t="s">
        <v>1645</v>
      </c>
      <c r="J94" s="369" t="s">
        <v>1647</v>
      </c>
      <c r="K94" s="369" t="s">
        <v>1648</v>
      </c>
      <c r="L94" s="369" t="s">
        <v>1649</v>
      </c>
      <c r="M94" s="369" t="s">
        <v>1650</v>
      </c>
    </row>
    <row r="95" spans="1:13" ht="15.75" x14ac:dyDescent="0.25">
      <c r="A95" s="466">
        <f t="shared" si="7"/>
        <v>48</v>
      </c>
      <c r="B95" s="467" t="str">
        <f>'[1]Под 1 и 2'!A53</f>
        <v>1/ 48</v>
      </c>
      <c r="C95" s="468" t="s">
        <v>156</v>
      </c>
      <c r="D95" s="469">
        <v>114.2</v>
      </c>
      <c r="E95" s="42">
        <f>D95/$A$5*$E$4</f>
        <v>64.038367042212215</v>
      </c>
      <c r="F95" s="711">
        <v>5.05</v>
      </c>
      <c r="G95" s="470">
        <f t="shared" si="8"/>
        <v>323.39375356317169</v>
      </c>
      <c r="I95" s="571"/>
      <c r="J95" s="571">
        <v>1</v>
      </c>
      <c r="K95" s="571">
        <v>2</v>
      </c>
      <c r="L95" s="571" t="s">
        <v>1651</v>
      </c>
      <c r="M95" s="571">
        <v>4</v>
      </c>
    </row>
    <row r="96" spans="1:13" ht="15" x14ac:dyDescent="0.25">
      <c r="A96" s="35">
        <f t="shared" si="7"/>
        <v>49</v>
      </c>
      <c r="B96" s="70" t="str">
        <f>'[1]Под 1 и 2'!A54</f>
        <v>1/ 49</v>
      </c>
      <c r="C96" s="87" t="s">
        <v>157</v>
      </c>
      <c r="D96" s="201">
        <v>76.400000000000006</v>
      </c>
      <c r="E96" s="42">
        <f t="shared" ref="E96" si="9">D96/$A$5*$E$4</f>
        <v>42.841779702495749</v>
      </c>
      <c r="F96" s="711">
        <v>5.05</v>
      </c>
      <c r="G96" s="43">
        <f t="shared" si="8"/>
        <v>216.35098749760354</v>
      </c>
      <c r="I96" s="35" t="s">
        <v>1643</v>
      </c>
      <c r="J96" s="35">
        <v>536.04</v>
      </c>
      <c r="K96" s="35"/>
      <c r="L96" s="35">
        <f>J96</f>
        <v>536.04</v>
      </c>
      <c r="M96" s="35">
        <v>280.44</v>
      </c>
    </row>
    <row r="97" spans="1:13" ht="15" x14ac:dyDescent="0.25">
      <c r="A97" s="35">
        <f t="shared" si="7"/>
        <v>50</v>
      </c>
      <c r="B97" s="70" t="str">
        <f>'[1]Под 1 и 2'!A55</f>
        <v>1/ 50</v>
      </c>
      <c r="C97" s="89" t="s">
        <v>158</v>
      </c>
      <c r="D97" s="201">
        <v>51.1</v>
      </c>
      <c r="E97" s="42">
        <f t="shared" ref="E97:E127" si="10">D97/$A$5*$E$4</f>
        <v>28.654645848135239</v>
      </c>
      <c r="F97" s="711">
        <v>5.05</v>
      </c>
      <c r="G97" s="43">
        <f t="shared" si="8"/>
        <v>144.70596153308296</v>
      </c>
      <c r="I97" s="35" t="s">
        <v>1644</v>
      </c>
      <c r="J97" s="35">
        <v>262.19</v>
      </c>
      <c r="K97" s="35">
        <v>273.85000000000002</v>
      </c>
      <c r="L97" s="35">
        <f>J97-K97</f>
        <v>-11.660000000000025</v>
      </c>
      <c r="M97" s="35">
        <v>280.44</v>
      </c>
    </row>
    <row r="98" spans="1:13" ht="42" customHeight="1" x14ac:dyDescent="0.25">
      <c r="A98" s="35">
        <f t="shared" si="7"/>
        <v>51</v>
      </c>
      <c r="B98" s="70" t="str">
        <f>'[1]Под 1 и 2'!A62</f>
        <v>1/ 51</v>
      </c>
      <c r="C98" s="90" t="s">
        <v>159</v>
      </c>
      <c r="D98" s="201">
        <v>50.2</v>
      </c>
      <c r="E98" s="42">
        <f t="shared" si="10"/>
        <v>28.149965197189616</v>
      </c>
      <c r="F98" s="711">
        <v>5.05</v>
      </c>
      <c r="G98" s="43">
        <f t="shared" si="8"/>
        <v>142.15732424580756</v>
      </c>
      <c r="I98" s="369" t="s">
        <v>1652</v>
      </c>
      <c r="J98" s="35"/>
      <c r="K98" s="35">
        <f>M96+M97-L96-L97</f>
        <v>36.500000000000057</v>
      </c>
      <c r="L98" s="35"/>
      <c r="M98" s="35"/>
    </row>
    <row r="99" spans="1:13" ht="15" x14ac:dyDescent="0.25">
      <c r="A99" s="35">
        <f t="shared" si="7"/>
        <v>52</v>
      </c>
      <c r="B99" s="70" t="str">
        <f>'[1]Под 1 и 2'!A63</f>
        <v>1/ 52</v>
      </c>
      <c r="C99" s="90" t="s">
        <v>160</v>
      </c>
      <c r="D99" s="201">
        <v>114.4</v>
      </c>
      <c r="E99" s="42">
        <f t="shared" si="10"/>
        <v>64.150518297977925</v>
      </c>
      <c r="F99" s="711">
        <v>5.05</v>
      </c>
      <c r="G99" s="43">
        <f t="shared" si="8"/>
        <v>323.96011740478849</v>
      </c>
    </row>
    <row r="100" spans="1:13" ht="15" x14ac:dyDescent="0.25">
      <c r="A100" s="35">
        <f t="shared" si="7"/>
        <v>53</v>
      </c>
      <c r="B100" s="70" t="s">
        <v>161</v>
      </c>
      <c r="C100" s="90" t="s">
        <v>162</v>
      </c>
      <c r="D100" s="201">
        <v>81</v>
      </c>
      <c r="E100" s="42">
        <f t="shared" si="10"/>
        <v>45.421258585106742</v>
      </c>
      <c r="F100" s="711">
        <v>5.05</v>
      </c>
      <c r="G100" s="43">
        <f t="shared" si="8"/>
        <v>229.37735585478904</v>
      </c>
    </row>
    <row r="101" spans="1:13" ht="15" x14ac:dyDescent="0.25">
      <c r="A101" s="35">
        <f t="shared" si="7"/>
        <v>54</v>
      </c>
      <c r="B101" s="70" t="str">
        <f>'[1]Под 1 и 2'!A65</f>
        <v>1/ 54</v>
      </c>
      <c r="C101" s="91" t="s">
        <v>163</v>
      </c>
      <c r="D101" s="201">
        <v>50.8</v>
      </c>
      <c r="E101" s="42">
        <f t="shared" si="10"/>
        <v>28.486418964486699</v>
      </c>
      <c r="F101" s="711">
        <v>5.05</v>
      </c>
      <c r="G101" s="43">
        <f t="shared" si="8"/>
        <v>143.85641577065783</v>
      </c>
    </row>
    <row r="102" spans="1:13" ht="15" x14ac:dyDescent="0.25">
      <c r="A102" s="35">
        <f t="shared" si="7"/>
        <v>55</v>
      </c>
      <c r="B102" s="70" t="str">
        <f>'[1]Под 1 и 2'!A66</f>
        <v>1/ 55</v>
      </c>
      <c r="C102" s="90" t="s">
        <v>164</v>
      </c>
      <c r="D102" s="201">
        <v>50.8</v>
      </c>
      <c r="E102" s="42">
        <f t="shared" si="10"/>
        <v>28.486418964486699</v>
      </c>
      <c r="F102" s="711">
        <v>5.05</v>
      </c>
      <c r="G102" s="43">
        <f t="shared" si="8"/>
        <v>143.85641577065783</v>
      </c>
    </row>
    <row r="103" spans="1:13" ht="15" x14ac:dyDescent="0.25">
      <c r="A103" s="35">
        <f t="shared" si="7"/>
        <v>56</v>
      </c>
      <c r="B103" s="70" t="str">
        <f>'[1]Под 1 и 2'!A67</f>
        <v>1/ 56</v>
      </c>
      <c r="C103" s="86" t="s">
        <v>165</v>
      </c>
      <c r="D103" s="201">
        <v>114.4</v>
      </c>
      <c r="E103" s="42">
        <f t="shared" si="10"/>
        <v>64.150518297977925</v>
      </c>
      <c r="F103" s="711">
        <v>5.05</v>
      </c>
      <c r="G103" s="43">
        <f t="shared" si="8"/>
        <v>323.96011740478849</v>
      </c>
    </row>
    <row r="104" spans="1:13" ht="15" x14ac:dyDescent="0.25">
      <c r="A104" s="35">
        <f t="shared" si="7"/>
        <v>57</v>
      </c>
      <c r="B104" s="70" t="str">
        <f>'[1]Под 1 и 2'!A68</f>
        <v>1/ 57</v>
      </c>
      <c r="C104" s="86" t="s">
        <v>166</v>
      </c>
      <c r="D104" s="201">
        <v>82.7</v>
      </c>
      <c r="E104" s="42">
        <f t="shared" si="10"/>
        <v>46.374544259115162</v>
      </c>
      <c r="F104" s="711">
        <v>5.05</v>
      </c>
      <c r="G104" s="43">
        <f t="shared" si="8"/>
        <v>234.19144850853155</v>
      </c>
    </row>
    <row r="105" spans="1:13" ht="15" x14ac:dyDescent="0.25">
      <c r="A105" s="35">
        <f t="shared" si="7"/>
        <v>58</v>
      </c>
      <c r="B105" s="70" t="str">
        <f>'[1]Под 1 и 2'!A69</f>
        <v>1/ 58</v>
      </c>
      <c r="C105" s="86" t="s">
        <v>167</v>
      </c>
      <c r="D105" s="201">
        <v>51</v>
      </c>
      <c r="E105" s="42">
        <f t="shared" si="10"/>
        <v>28.598570220252395</v>
      </c>
      <c r="F105" s="711">
        <v>5.05</v>
      </c>
      <c r="G105" s="43">
        <f t="shared" si="8"/>
        <v>144.42277961227458</v>
      </c>
    </row>
    <row r="106" spans="1:13" ht="15" x14ac:dyDescent="0.25">
      <c r="A106" s="35">
        <f t="shared" si="7"/>
        <v>59</v>
      </c>
      <c r="B106" s="70" t="str">
        <f>'[1]Под 1 и 2'!A70</f>
        <v>1/ 59</v>
      </c>
      <c r="C106" s="86" t="s">
        <v>168</v>
      </c>
      <c r="D106" s="201">
        <v>54.7</v>
      </c>
      <c r="E106" s="42">
        <f t="shared" si="10"/>
        <v>30.673368451917767</v>
      </c>
      <c r="F106" s="711">
        <v>5.05</v>
      </c>
      <c r="G106" s="43">
        <f t="shared" si="8"/>
        <v>154.90051068218472</v>
      </c>
    </row>
    <row r="107" spans="1:13" ht="15" x14ac:dyDescent="0.25">
      <c r="A107" s="35">
        <f t="shared" si="7"/>
        <v>60</v>
      </c>
      <c r="B107" s="70" t="str">
        <f>'[1]Под 1 и 2'!A71</f>
        <v>1/ 60</v>
      </c>
      <c r="C107" s="86" t="s">
        <v>169</v>
      </c>
      <c r="D107" s="201">
        <v>120.3</v>
      </c>
      <c r="E107" s="42">
        <f t="shared" si="10"/>
        <v>67.458980343065946</v>
      </c>
      <c r="F107" s="711">
        <v>5.05</v>
      </c>
      <c r="G107" s="43">
        <f t="shared" si="8"/>
        <v>340.66785073248303</v>
      </c>
    </row>
    <row r="108" spans="1:13" ht="15" x14ac:dyDescent="0.25">
      <c r="A108" s="35">
        <f t="shared" si="7"/>
        <v>61</v>
      </c>
      <c r="B108" s="70" t="str">
        <f>'[1]Под 1 и 2'!A72</f>
        <v>1/ 61</v>
      </c>
      <c r="C108" s="92" t="s">
        <v>170</v>
      </c>
      <c r="D108" s="201">
        <f>84</f>
        <v>84</v>
      </c>
      <c r="E108" s="42">
        <f t="shared" si="10"/>
        <v>47.103527421592176</v>
      </c>
      <c r="F108" s="711">
        <v>5.05</v>
      </c>
      <c r="G108" s="43">
        <f t="shared" si="8"/>
        <v>237.87281347904047</v>
      </c>
    </row>
    <row r="109" spans="1:13" ht="15" x14ac:dyDescent="0.25">
      <c r="A109" s="35">
        <f t="shared" si="7"/>
        <v>62</v>
      </c>
      <c r="B109" s="70" t="str">
        <f>'[1]Под 1 и 2'!A73</f>
        <v>1/ 62</v>
      </c>
      <c r="C109" s="87" t="s">
        <v>171</v>
      </c>
      <c r="D109" s="201">
        <v>50.6</v>
      </c>
      <c r="E109" s="42">
        <f t="shared" si="10"/>
        <v>28.374267708721003</v>
      </c>
      <c r="F109" s="711">
        <v>5.05</v>
      </c>
      <c r="G109" s="43">
        <f t="shared" si="8"/>
        <v>143.29005192904106</v>
      </c>
    </row>
    <row r="110" spans="1:13" ht="15" x14ac:dyDescent="0.25">
      <c r="A110" s="35">
        <f t="shared" si="7"/>
        <v>63</v>
      </c>
      <c r="B110" s="70" t="str">
        <f>'[1]Под 1 и 2'!A74</f>
        <v>1/ 63</v>
      </c>
      <c r="C110" s="90" t="s">
        <v>172</v>
      </c>
      <c r="D110" s="201">
        <v>50.2</v>
      </c>
      <c r="E110" s="42">
        <f t="shared" si="10"/>
        <v>28.149965197189616</v>
      </c>
      <c r="F110" s="711">
        <v>5.05</v>
      </c>
      <c r="G110" s="43">
        <f t="shared" si="8"/>
        <v>142.15732424580756</v>
      </c>
    </row>
    <row r="111" spans="1:13" ht="15" x14ac:dyDescent="0.25">
      <c r="A111" s="35">
        <f t="shared" si="7"/>
        <v>64</v>
      </c>
      <c r="B111" s="70" t="str">
        <f>'[1]Под 1 и 2'!A75</f>
        <v>1/ 64</v>
      </c>
      <c r="C111" s="86" t="s">
        <v>173</v>
      </c>
      <c r="D111" s="201">
        <v>119.9</v>
      </c>
      <c r="E111" s="42">
        <f t="shared" si="10"/>
        <v>67.234677831534555</v>
      </c>
      <c r="F111" s="711">
        <v>5.05</v>
      </c>
      <c r="G111" s="43">
        <f t="shared" si="8"/>
        <v>339.53512304924948</v>
      </c>
    </row>
    <row r="112" spans="1:13" ht="15" x14ac:dyDescent="0.25">
      <c r="A112" s="35">
        <f t="shared" si="7"/>
        <v>65</v>
      </c>
      <c r="B112" s="70" t="str">
        <f>'[1]Под 1 и 2'!A77</f>
        <v xml:space="preserve">1/ 65 </v>
      </c>
      <c r="C112" s="91" t="s">
        <v>174</v>
      </c>
      <c r="D112" s="201">
        <v>82.8</v>
      </c>
      <c r="E112" s="42">
        <f t="shared" si="10"/>
        <v>46.430619886998002</v>
      </c>
      <c r="F112" s="711">
        <v>5.05</v>
      </c>
      <c r="G112" s="43">
        <f t="shared" si="8"/>
        <v>234.4746304293399</v>
      </c>
    </row>
    <row r="113" spans="1:7" ht="15" x14ac:dyDescent="0.25">
      <c r="A113" s="35">
        <f t="shared" si="7"/>
        <v>66</v>
      </c>
      <c r="B113" s="70" t="str">
        <f>'[1]Под 1 и 2'!A78</f>
        <v>1/ 66</v>
      </c>
      <c r="C113" s="85" t="s">
        <v>175</v>
      </c>
      <c r="D113" s="201">
        <v>50.6</v>
      </c>
      <c r="E113" s="42">
        <f t="shared" si="10"/>
        <v>28.374267708721003</v>
      </c>
      <c r="F113" s="711">
        <v>5.05</v>
      </c>
      <c r="G113" s="43">
        <f t="shared" si="8"/>
        <v>143.29005192904106</v>
      </c>
    </row>
    <row r="114" spans="1:7" ht="15" x14ac:dyDescent="0.25">
      <c r="A114" s="35">
        <f t="shared" ref="A114:A179" si="11">A113+1</f>
        <v>67</v>
      </c>
      <c r="B114" s="70" t="str">
        <f>'[1]Под 1 и 2'!A79</f>
        <v>1/ 67</v>
      </c>
      <c r="C114" s="91" t="s">
        <v>176</v>
      </c>
      <c r="D114" s="201">
        <v>50.7</v>
      </c>
      <c r="E114" s="42">
        <f t="shared" si="10"/>
        <v>28.430343336603851</v>
      </c>
      <c r="F114" s="711">
        <v>5.05</v>
      </c>
      <c r="G114" s="43">
        <f t="shared" si="8"/>
        <v>143.57323384984943</v>
      </c>
    </row>
    <row r="115" spans="1:7" ht="15" x14ac:dyDescent="0.25">
      <c r="A115" s="35">
        <f t="shared" si="11"/>
        <v>68</v>
      </c>
      <c r="B115" s="70" t="str">
        <f>'[1]Под 1 и 2'!A80</f>
        <v>1/ 68</v>
      </c>
      <c r="C115" s="85" t="s">
        <v>177</v>
      </c>
      <c r="D115" s="201">
        <v>120.9</v>
      </c>
      <c r="E115" s="42">
        <f t="shared" si="10"/>
        <v>67.795434110363033</v>
      </c>
      <c r="F115" s="711">
        <v>5.05</v>
      </c>
      <c r="G115" s="43">
        <f t="shared" si="8"/>
        <v>342.36694225733328</v>
      </c>
    </row>
    <row r="116" spans="1:7" ht="15" x14ac:dyDescent="0.25">
      <c r="A116" s="35">
        <f t="shared" si="11"/>
        <v>69</v>
      </c>
      <c r="B116" s="70" t="str">
        <f>'[1]Под 1 и 2'!A81</f>
        <v xml:space="preserve">2/ 69 </v>
      </c>
      <c r="C116" s="85" t="s">
        <v>178</v>
      </c>
      <c r="D116" s="205">
        <v>107.1</v>
      </c>
      <c r="E116" s="42">
        <f t="shared" si="10"/>
        <v>60.05699746253002</v>
      </c>
      <c r="F116" s="711">
        <v>5.05</v>
      </c>
      <c r="G116" s="43">
        <f t="shared" si="8"/>
        <v>303.2878371857766</v>
      </c>
    </row>
    <row r="117" spans="1:7" ht="15" x14ac:dyDescent="0.25">
      <c r="A117" s="35">
        <f t="shared" si="11"/>
        <v>70</v>
      </c>
      <c r="B117" s="70" t="str">
        <f>'[1]Под 1 и 2'!A82</f>
        <v>2/ 70</v>
      </c>
      <c r="C117" s="85" t="s">
        <v>179</v>
      </c>
      <c r="D117" s="201">
        <v>48.8</v>
      </c>
      <c r="E117" s="42">
        <f t="shared" si="10"/>
        <v>27.364906406829739</v>
      </c>
      <c r="F117" s="711">
        <v>5.05</v>
      </c>
      <c r="G117" s="43">
        <f t="shared" si="8"/>
        <v>138.19277735449018</v>
      </c>
    </row>
    <row r="118" spans="1:7" ht="15" x14ac:dyDescent="0.25">
      <c r="A118" s="35">
        <f t="shared" si="11"/>
        <v>71</v>
      </c>
      <c r="B118" s="70" t="str">
        <f>'[1]Под 1 и 2'!A83</f>
        <v>2/ 71</v>
      </c>
      <c r="C118" s="85" t="s">
        <v>180</v>
      </c>
      <c r="D118" s="201">
        <v>47.3</v>
      </c>
      <c r="E118" s="42">
        <f t="shared" si="10"/>
        <v>26.523771988587022</v>
      </c>
      <c r="F118" s="711">
        <v>5.05</v>
      </c>
      <c r="G118" s="43">
        <f t="shared" si="8"/>
        <v>133.94504854236445</v>
      </c>
    </row>
    <row r="119" spans="1:7" ht="15" x14ac:dyDescent="0.25">
      <c r="A119" s="35">
        <f t="shared" si="11"/>
        <v>72</v>
      </c>
      <c r="B119" s="70" t="str">
        <f>'[1]Под 1 и 2'!A84</f>
        <v>2/ 72</v>
      </c>
      <c r="C119" s="85" t="s">
        <v>181</v>
      </c>
      <c r="D119" s="201">
        <v>80.8</v>
      </c>
      <c r="E119" s="42">
        <f t="shared" si="10"/>
        <v>45.309107329341046</v>
      </c>
      <c r="F119" s="711">
        <v>5.05</v>
      </c>
      <c r="G119" s="43">
        <f t="shared" si="8"/>
        <v>228.81099201317227</v>
      </c>
    </row>
    <row r="120" spans="1:7" ht="15" x14ac:dyDescent="0.25">
      <c r="A120" s="35">
        <f t="shared" si="11"/>
        <v>73</v>
      </c>
      <c r="B120" s="70" t="str">
        <f>'[1]Под 1 и 2'!A85</f>
        <v>2/ 73</v>
      </c>
      <c r="C120" s="85" t="s">
        <v>182</v>
      </c>
      <c r="D120" s="201">
        <v>106.9</v>
      </c>
      <c r="E120" s="42">
        <f t="shared" si="10"/>
        <v>59.944846206764332</v>
      </c>
      <c r="F120" s="711">
        <v>5.05</v>
      </c>
      <c r="G120" s="43">
        <f t="shared" si="8"/>
        <v>302.72147334415985</v>
      </c>
    </row>
    <row r="121" spans="1:7" ht="15" x14ac:dyDescent="0.25">
      <c r="A121" s="35">
        <f t="shared" si="11"/>
        <v>74</v>
      </c>
      <c r="B121" s="70" t="str">
        <f>'[1]Под 1 и 2'!A86</f>
        <v>2/ 74</v>
      </c>
      <c r="C121" s="85" t="s">
        <v>183</v>
      </c>
      <c r="D121" s="201">
        <v>48.6</v>
      </c>
      <c r="E121" s="42">
        <f t="shared" si="10"/>
        <v>27.252755151064047</v>
      </c>
      <c r="F121" s="711">
        <v>5.05</v>
      </c>
      <c r="G121" s="43">
        <f t="shared" si="8"/>
        <v>137.62641351287343</v>
      </c>
    </row>
    <row r="122" spans="1:7" ht="15" x14ac:dyDescent="0.25">
      <c r="A122" s="35">
        <f t="shared" si="11"/>
        <v>75</v>
      </c>
      <c r="B122" s="70" t="str">
        <f>'[1]Под 1 и 2'!A87</f>
        <v>2/ 75</v>
      </c>
      <c r="C122" s="146" t="s">
        <v>184</v>
      </c>
      <c r="D122" s="201">
        <v>48.4</v>
      </c>
      <c r="E122" s="42">
        <f t="shared" si="10"/>
        <v>27.140603895298351</v>
      </c>
      <c r="F122" s="711">
        <v>5.05</v>
      </c>
      <c r="G122" s="43">
        <f t="shared" si="8"/>
        <v>137.06004967125668</v>
      </c>
    </row>
    <row r="123" spans="1:7" ht="15" x14ac:dyDescent="0.25">
      <c r="A123" s="35">
        <f t="shared" si="11"/>
        <v>76</v>
      </c>
      <c r="B123" s="70" t="str">
        <f>'[1]Под 1 и 2'!A88</f>
        <v>2/ 76</v>
      </c>
      <c r="C123" s="85" t="s">
        <v>975</v>
      </c>
      <c r="D123" s="510">
        <v>80.5</v>
      </c>
      <c r="E123" s="42">
        <f t="shared" si="10"/>
        <v>45.140880445692503</v>
      </c>
      <c r="F123" s="711">
        <v>5.05</v>
      </c>
      <c r="G123" s="43">
        <f t="shared" si="8"/>
        <v>227.96144625074712</v>
      </c>
    </row>
    <row r="124" spans="1:7" ht="15" x14ac:dyDescent="0.25">
      <c r="A124" s="35">
        <f t="shared" si="11"/>
        <v>77</v>
      </c>
      <c r="B124" s="70" t="str">
        <f>'[1]Под 1 и 2'!A89</f>
        <v>2/ 77</v>
      </c>
      <c r="C124" s="511" t="s">
        <v>185</v>
      </c>
      <c r="D124" s="206">
        <v>108.5</v>
      </c>
      <c r="E124" s="42">
        <f t="shared" si="10"/>
        <v>60.84205625288989</v>
      </c>
      <c r="F124" s="711">
        <v>5.05</v>
      </c>
      <c r="G124" s="43">
        <f t="shared" si="8"/>
        <v>307.25238407709395</v>
      </c>
    </row>
    <row r="125" spans="1:7" ht="15" x14ac:dyDescent="0.25">
      <c r="A125" s="35">
        <f t="shared" si="11"/>
        <v>78</v>
      </c>
      <c r="B125" s="70" t="str">
        <f>'[1]Под 1 и 2'!A90</f>
        <v>2/ 78</v>
      </c>
      <c r="C125" s="86" t="s">
        <v>186</v>
      </c>
      <c r="D125" s="205">
        <v>48.4</v>
      </c>
      <c r="E125" s="42">
        <f t="shared" si="10"/>
        <v>27.140603895298351</v>
      </c>
      <c r="F125" s="711">
        <v>5.05</v>
      </c>
      <c r="G125" s="43">
        <f t="shared" si="8"/>
        <v>137.06004967125668</v>
      </c>
    </row>
    <row r="126" spans="1:7" ht="15" x14ac:dyDescent="0.25">
      <c r="A126" s="35">
        <f t="shared" si="11"/>
        <v>79</v>
      </c>
      <c r="B126" s="70" t="str">
        <f>'[1]Под 1 и 2'!A91</f>
        <v>2/ 79</v>
      </c>
      <c r="C126" s="86" t="s">
        <v>187</v>
      </c>
      <c r="D126" s="201">
        <v>48.9</v>
      </c>
      <c r="E126" s="42">
        <f t="shared" si="10"/>
        <v>27.420982034712591</v>
      </c>
      <c r="F126" s="711">
        <v>5.05</v>
      </c>
      <c r="G126" s="43">
        <f t="shared" si="8"/>
        <v>138.47595927529858</v>
      </c>
    </row>
    <row r="127" spans="1:7" ht="15" x14ac:dyDescent="0.25">
      <c r="A127" s="35">
        <f t="shared" si="11"/>
        <v>80</v>
      </c>
      <c r="B127" s="70" t="str">
        <f>'[1]Под 1 и 2'!A92</f>
        <v>2/ 80</v>
      </c>
      <c r="C127" s="86" t="s">
        <v>188</v>
      </c>
      <c r="D127" s="201">
        <v>80.2</v>
      </c>
      <c r="E127" s="42">
        <f t="shared" si="10"/>
        <v>44.972653562043959</v>
      </c>
      <c r="F127" s="711">
        <v>5.05</v>
      </c>
      <c r="G127" s="43">
        <f t="shared" si="8"/>
        <v>227.11190048832199</v>
      </c>
    </row>
    <row r="128" spans="1:7" ht="15" x14ac:dyDescent="0.25">
      <c r="A128" s="35">
        <f t="shared" si="11"/>
        <v>81</v>
      </c>
      <c r="B128" s="70" t="str">
        <f>'[1]Под 1 и 2'!A93</f>
        <v>2/ 81</v>
      </c>
      <c r="C128" s="86" t="s">
        <v>189</v>
      </c>
      <c r="D128" s="201">
        <v>107</v>
      </c>
      <c r="E128" s="42">
        <f t="shared" ref="E128:E159" si="12">D128/$A$5*$E$4</f>
        <v>60.00092183464718</v>
      </c>
      <c r="F128" s="711">
        <v>5.05</v>
      </c>
      <c r="G128" s="43">
        <f t="shared" si="8"/>
        <v>303.00465526496822</v>
      </c>
    </row>
    <row r="129" spans="1:7" ht="15" x14ac:dyDescent="0.25">
      <c r="A129" s="35">
        <f t="shared" si="11"/>
        <v>82</v>
      </c>
      <c r="B129" s="70" t="str">
        <f>'[1]Под 1 и 2'!A94</f>
        <v>2/ 82</v>
      </c>
      <c r="C129" s="86" t="s">
        <v>190</v>
      </c>
      <c r="D129" s="201">
        <v>48.8</v>
      </c>
      <c r="E129" s="42">
        <f t="shared" si="12"/>
        <v>27.364906406829739</v>
      </c>
      <c r="F129" s="711">
        <v>5.05</v>
      </c>
      <c r="G129" s="43">
        <f t="shared" si="8"/>
        <v>138.19277735449018</v>
      </c>
    </row>
    <row r="130" spans="1:7" ht="15" x14ac:dyDescent="0.25">
      <c r="A130" s="35">
        <f t="shared" si="11"/>
        <v>83</v>
      </c>
      <c r="B130" s="70" t="str">
        <f>'[1]Под 1 и 2'!A95</f>
        <v>2/ 83</v>
      </c>
      <c r="C130" s="87" t="s">
        <v>191</v>
      </c>
      <c r="D130" s="201">
        <v>48.9</v>
      </c>
      <c r="E130" s="42">
        <f t="shared" si="12"/>
        <v>27.420982034712591</v>
      </c>
      <c r="F130" s="711">
        <v>5.05</v>
      </c>
      <c r="G130" s="43">
        <f t="shared" si="8"/>
        <v>138.47595927529858</v>
      </c>
    </row>
    <row r="131" spans="1:7" ht="15" x14ac:dyDescent="0.25">
      <c r="A131" s="35">
        <f t="shared" si="11"/>
        <v>84</v>
      </c>
      <c r="B131" s="70" t="str">
        <f>'[1]Под 1 и 2'!A96</f>
        <v>2/ 84</v>
      </c>
      <c r="C131" s="87" t="s">
        <v>192</v>
      </c>
      <c r="D131" s="201">
        <v>80.400000000000006</v>
      </c>
      <c r="E131" s="42">
        <f t="shared" si="12"/>
        <v>45.084804817809662</v>
      </c>
      <c r="F131" s="711">
        <v>5.05</v>
      </c>
      <c r="G131" s="43">
        <f t="shared" si="8"/>
        <v>227.6782643299388</v>
      </c>
    </row>
    <row r="132" spans="1:7" ht="15" x14ac:dyDescent="0.25">
      <c r="A132" s="35">
        <f t="shared" si="11"/>
        <v>85</v>
      </c>
      <c r="B132" s="70" t="str">
        <f>'[1]Под 1 и 2'!A97</f>
        <v>2/ 85</v>
      </c>
      <c r="C132" s="87" t="s">
        <v>193</v>
      </c>
      <c r="D132" s="201">
        <v>106.7</v>
      </c>
      <c r="E132" s="42">
        <f t="shared" si="12"/>
        <v>59.832694950998636</v>
      </c>
      <c r="F132" s="711">
        <v>5.05</v>
      </c>
      <c r="G132" s="43">
        <f t="shared" si="8"/>
        <v>302.1551095025431</v>
      </c>
    </row>
    <row r="133" spans="1:7" ht="15" x14ac:dyDescent="0.25">
      <c r="A133" s="35">
        <f t="shared" si="11"/>
        <v>86</v>
      </c>
      <c r="B133" s="70" t="str">
        <f>'[1]Под 1 и 2'!A98</f>
        <v>2/ 86</v>
      </c>
      <c r="C133" s="87" t="s">
        <v>194</v>
      </c>
      <c r="D133" s="201">
        <v>48.7</v>
      </c>
      <c r="E133" s="42">
        <f t="shared" si="12"/>
        <v>27.308830778946891</v>
      </c>
      <c r="F133" s="711">
        <v>5.05</v>
      </c>
      <c r="G133" s="43">
        <f t="shared" si="8"/>
        <v>137.9095954336818</v>
      </c>
    </row>
    <row r="134" spans="1:7" ht="15" x14ac:dyDescent="0.25">
      <c r="A134" s="35">
        <f t="shared" si="11"/>
        <v>87</v>
      </c>
      <c r="B134" s="70" t="str">
        <f>'[1]Под 1 и 2'!A99</f>
        <v>2/ 87</v>
      </c>
      <c r="C134" s="87" t="s">
        <v>195</v>
      </c>
      <c r="D134" s="201">
        <v>48.8</v>
      </c>
      <c r="E134" s="42">
        <f t="shared" si="12"/>
        <v>27.364906406829739</v>
      </c>
      <c r="F134" s="711">
        <v>5.05</v>
      </c>
      <c r="G134" s="43">
        <f t="shared" si="8"/>
        <v>138.19277735449018</v>
      </c>
    </row>
    <row r="135" spans="1:7" ht="15" x14ac:dyDescent="0.25">
      <c r="A135" s="35">
        <f t="shared" si="11"/>
        <v>88</v>
      </c>
      <c r="B135" s="70" t="str">
        <f>'[1]Под 1 и 2'!A100</f>
        <v>2/ 88</v>
      </c>
      <c r="C135" s="88" t="s">
        <v>196</v>
      </c>
      <c r="D135" s="201">
        <v>80.3</v>
      </c>
      <c r="E135" s="42">
        <f t="shared" si="12"/>
        <v>45.028729189926807</v>
      </c>
      <c r="F135" s="711">
        <v>5.05</v>
      </c>
      <c r="G135" s="43">
        <f t="shared" si="8"/>
        <v>227.39508240913037</v>
      </c>
    </row>
    <row r="136" spans="1:7" ht="15" x14ac:dyDescent="0.25">
      <c r="A136" s="35">
        <f t="shared" si="11"/>
        <v>89</v>
      </c>
      <c r="B136" s="70" t="str">
        <f>'[1]Под 1 и 2'!A101</f>
        <v>2/ 89</v>
      </c>
      <c r="C136" s="88" t="s">
        <v>197</v>
      </c>
      <c r="D136" s="201">
        <v>107.1</v>
      </c>
      <c r="E136" s="42">
        <f t="shared" si="12"/>
        <v>60.05699746253002</v>
      </c>
      <c r="F136" s="711">
        <v>5.05</v>
      </c>
      <c r="G136" s="43">
        <f t="shared" si="8"/>
        <v>303.2878371857766</v>
      </c>
    </row>
    <row r="137" spans="1:7" ht="15" x14ac:dyDescent="0.25">
      <c r="A137" s="35">
        <f t="shared" si="11"/>
        <v>90</v>
      </c>
      <c r="B137" s="70" t="str">
        <f>'[1]Под 1 и 2'!A102</f>
        <v>2/ 90</v>
      </c>
      <c r="C137" s="88" t="s">
        <v>198</v>
      </c>
      <c r="D137" s="201">
        <v>48.8</v>
      </c>
      <c r="E137" s="42">
        <f t="shared" si="12"/>
        <v>27.364906406829739</v>
      </c>
      <c r="F137" s="711">
        <v>5.05</v>
      </c>
      <c r="G137" s="43">
        <f t="shared" si="8"/>
        <v>138.19277735449018</v>
      </c>
    </row>
    <row r="138" spans="1:7" ht="15" x14ac:dyDescent="0.25">
      <c r="A138" s="35">
        <f t="shared" si="11"/>
        <v>91</v>
      </c>
      <c r="B138" s="70" t="str">
        <f>'[1]Под 1 и 2'!A103</f>
        <v>2/ 91</v>
      </c>
      <c r="C138" s="87" t="s">
        <v>199</v>
      </c>
      <c r="D138" s="201">
        <v>48.4</v>
      </c>
      <c r="E138" s="42">
        <f t="shared" si="12"/>
        <v>27.140603895298351</v>
      </c>
      <c r="F138" s="711">
        <v>5.05</v>
      </c>
      <c r="G138" s="43">
        <f t="shared" si="8"/>
        <v>137.06004967125668</v>
      </c>
    </row>
    <row r="139" spans="1:7" ht="15" x14ac:dyDescent="0.25">
      <c r="A139" s="35">
        <f t="shared" si="11"/>
        <v>92</v>
      </c>
      <c r="B139" s="70" t="str">
        <f>'[1]Под 1 и 2'!A104</f>
        <v>2/ 92</v>
      </c>
      <c r="C139" s="87" t="s">
        <v>200</v>
      </c>
      <c r="D139" s="201">
        <v>80.5</v>
      </c>
      <c r="E139" s="42">
        <f t="shared" si="12"/>
        <v>45.140880445692503</v>
      </c>
      <c r="F139" s="711">
        <v>5.05</v>
      </c>
      <c r="G139" s="43">
        <f t="shared" si="8"/>
        <v>227.96144625074712</v>
      </c>
    </row>
    <row r="140" spans="1:7" ht="15" x14ac:dyDescent="0.25">
      <c r="A140" s="35">
        <f t="shared" si="11"/>
        <v>93</v>
      </c>
      <c r="B140" s="70" t="str">
        <f>'[1]Под 1 и 2'!A105</f>
        <v>2/ 93</v>
      </c>
      <c r="C140" s="87" t="s">
        <v>201</v>
      </c>
      <c r="D140" s="201">
        <v>108.7</v>
      </c>
      <c r="E140" s="42">
        <f t="shared" si="12"/>
        <v>60.954207508655593</v>
      </c>
      <c r="F140" s="711">
        <v>5.05</v>
      </c>
      <c r="G140" s="43">
        <f t="shared" si="8"/>
        <v>307.81874791871076</v>
      </c>
    </row>
    <row r="141" spans="1:7" ht="15" x14ac:dyDescent="0.25">
      <c r="A141" s="35">
        <f t="shared" si="11"/>
        <v>94</v>
      </c>
      <c r="B141" s="70" t="str">
        <f>'[1]Под 1 и 2'!A106</f>
        <v>2/ 94</v>
      </c>
      <c r="C141" s="93" t="s">
        <v>202</v>
      </c>
      <c r="D141" s="201">
        <v>50.5</v>
      </c>
      <c r="E141" s="42">
        <f t="shared" si="12"/>
        <v>28.318192080838156</v>
      </c>
      <c r="F141" s="711">
        <v>5.05</v>
      </c>
      <c r="G141" s="43">
        <f t="shared" si="8"/>
        <v>143.00687000823268</v>
      </c>
    </row>
    <row r="142" spans="1:7" ht="15" x14ac:dyDescent="0.25">
      <c r="A142" s="35">
        <f t="shared" si="11"/>
        <v>95</v>
      </c>
      <c r="B142" s="70" t="str">
        <f>'[1]Под 1 и 2'!A107</f>
        <v>2/ 95</v>
      </c>
      <c r="C142" s="93" t="s">
        <v>203</v>
      </c>
      <c r="D142" s="201">
        <v>50.7</v>
      </c>
      <c r="E142" s="42">
        <f t="shared" si="12"/>
        <v>28.430343336603851</v>
      </c>
      <c r="F142" s="711">
        <v>5.05</v>
      </c>
      <c r="G142" s="43">
        <f t="shared" si="8"/>
        <v>143.57323384984943</v>
      </c>
    </row>
    <row r="143" spans="1:7" ht="15" x14ac:dyDescent="0.25">
      <c r="A143" s="35">
        <f t="shared" si="11"/>
        <v>96</v>
      </c>
      <c r="B143" s="70" t="str">
        <f>'[1]Под 1 и 2'!A108</f>
        <v>2/ 96</v>
      </c>
      <c r="C143" s="86" t="s">
        <v>204</v>
      </c>
      <c r="D143" s="201">
        <v>80.400000000000006</v>
      </c>
      <c r="E143" s="42">
        <f t="shared" si="12"/>
        <v>45.084804817809662</v>
      </c>
      <c r="F143" s="711">
        <v>5.05</v>
      </c>
      <c r="G143" s="43">
        <f t="shared" si="8"/>
        <v>227.6782643299388</v>
      </c>
    </row>
    <row r="144" spans="1:7" ht="15" x14ac:dyDescent="0.25">
      <c r="A144" s="35">
        <f t="shared" si="11"/>
        <v>97</v>
      </c>
      <c r="B144" s="70" t="str">
        <f>'[1]Под 1 и 2'!A109</f>
        <v>2/ 97</v>
      </c>
      <c r="C144" s="86" t="s">
        <v>205</v>
      </c>
      <c r="D144" s="201">
        <v>108.7</v>
      </c>
      <c r="E144" s="42">
        <f t="shared" si="12"/>
        <v>60.954207508655593</v>
      </c>
      <c r="F144" s="711">
        <v>5.05</v>
      </c>
      <c r="G144" s="43">
        <f t="shared" si="8"/>
        <v>307.81874791871076</v>
      </c>
    </row>
    <row r="145" spans="1:7" ht="15" x14ac:dyDescent="0.25">
      <c r="A145" s="35">
        <f t="shared" si="11"/>
        <v>98</v>
      </c>
      <c r="B145" s="70" t="str">
        <f>'[1]Под 1 и 2'!A110</f>
        <v>2/ 98</v>
      </c>
      <c r="C145" s="86" t="s">
        <v>206</v>
      </c>
      <c r="D145" s="201">
        <v>50.6</v>
      </c>
      <c r="E145" s="42">
        <f t="shared" si="12"/>
        <v>28.374267708721003</v>
      </c>
      <c r="F145" s="711">
        <v>5.05</v>
      </c>
      <c r="G145" s="43">
        <f t="shared" si="8"/>
        <v>143.29005192904106</v>
      </c>
    </row>
    <row r="146" spans="1:7" ht="15" x14ac:dyDescent="0.25">
      <c r="A146" s="35">
        <f t="shared" si="11"/>
        <v>99</v>
      </c>
      <c r="B146" s="70" t="str">
        <f>'[1]Под 1 и 2'!A111</f>
        <v>2/ 99</v>
      </c>
      <c r="C146" s="93" t="s">
        <v>207</v>
      </c>
      <c r="D146" s="201">
        <v>51</v>
      </c>
      <c r="E146" s="42">
        <f t="shared" si="12"/>
        <v>28.598570220252395</v>
      </c>
      <c r="F146" s="711">
        <v>5.05</v>
      </c>
      <c r="G146" s="43">
        <f t="shared" si="8"/>
        <v>144.42277961227458</v>
      </c>
    </row>
    <row r="147" spans="1:7" ht="15" x14ac:dyDescent="0.25">
      <c r="A147" s="35">
        <f t="shared" si="11"/>
        <v>100</v>
      </c>
      <c r="B147" s="70" t="str">
        <f>'[1]Под 1 и 2'!A112</f>
        <v>2/ 100</v>
      </c>
      <c r="C147" s="89" t="s">
        <v>208</v>
      </c>
      <c r="D147" s="201">
        <v>80.3</v>
      </c>
      <c r="E147" s="42">
        <f t="shared" si="12"/>
        <v>45.028729189926807</v>
      </c>
      <c r="F147" s="711">
        <v>5.05</v>
      </c>
      <c r="G147" s="43">
        <f t="shared" si="8"/>
        <v>227.39508240913037</v>
      </c>
    </row>
    <row r="148" spans="1:7" ht="15" x14ac:dyDescent="0.25">
      <c r="A148" s="35">
        <f t="shared" si="11"/>
        <v>101</v>
      </c>
      <c r="B148" s="70" t="str">
        <f>'[1]Под 1 и 2'!A121</f>
        <v>2/ 101</v>
      </c>
      <c r="C148" s="90" t="s">
        <v>209</v>
      </c>
      <c r="D148" s="201">
        <v>112.7</v>
      </c>
      <c r="E148" s="42">
        <f t="shared" si="12"/>
        <v>63.197232623969505</v>
      </c>
      <c r="F148" s="711">
        <v>5.05</v>
      </c>
      <c r="G148" s="43">
        <f t="shared" si="8"/>
        <v>319.14602475104601</v>
      </c>
    </row>
    <row r="149" spans="1:7" ht="15" x14ac:dyDescent="0.25">
      <c r="A149" s="35">
        <f t="shared" si="11"/>
        <v>102</v>
      </c>
      <c r="B149" s="70" t="str">
        <f>'[1]Под 1 и 2'!A122</f>
        <v>2/ 102</v>
      </c>
      <c r="C149" s="79" t="s">
        <v>210</v>
      </c>
      <c r="D149" s="201">
        <v>50.7</v>
      </c>
      <c r="E149" s="42">
        <f t="shared" si="12"/>
        <v>28.430343336603851</v>
      </c>
      <c r="F149" s="711">
        <v>5.05</v>
      </c>
      <c r="G149" s="43">
        <f t="shared" ref="G149:G212" si="13">E149*F149</f>
        <v>143.57323384984943</v>
      </c>
    </row>
    <row r="150" spans="1:7" ht="15" x14ac:dyDescent="0.25">
      <c r="A150" s="35">
        <f t="shared" si="11"/>
        <v>103</v>
      </c>
      <c r="B150" s="70" t="str">
        <f>'[1]Под 1 и 2'!A123</f>
        <v>2/ 103</v>
      </c>
      <c r="C150" s="35" t="s">
        <v>175</v>
      </c>
      <c r="D150" s="201">
        <v>50.9</v>
      </c>
      <c r="E150" s="42">
        <f t="shared" si="12"/>
        <v>28.542494592369543</v>
      </c>
      <c r="F150" s="711">
        <v>5.05</v>
      </c>
      <c r="G150" s="43">
        <f t="shared" si="13"/>
        <v>144.13959769146618</v>
      </c>
    </row>
    <row r="151" spans="1:7" ht="15" x14ac:dyDescent="0.25">
      <c r="A151" s="35">
        <f t="shared" si="11"/>
        <v>104</v>
      </c>
      <c r="B151" s="70" t="str">
        <f>'[1]Под 1 и 2'!A124</f>
        <v>2/ 104</v>
      </c>
      <c r="C151" s="92" t="s">
        <v>211</v>
      </c>
      <c r="D151" s="201">
        <v>81</v>
      </c>
      <c r="E151" s="42">
        <f t="shared" si="12"/>
        <v>45.421258585106742</v>
      </c>
      <c r="F151" s="711">
        <v>5.05</v>
      </c>
      <c r="G151" s="43">
        <f t="shared" si="13"/>
        <v>229.37735585478904</v>
      </c>
    </row>
    <row r="152" spans="1:7" ht="15" x14ac:dyDescent="0.25">
      <c r="A152" s="35">
        <f t="shared" si="11"/>
        <v>105</v>
      </c>
      <c r="B152" s="70" t="str">
        <f>'[1]Под 1 и 2'!A125</f>
        <v>2/ 105</v>
      </c>
      <c r="C152" s="90" t="s">
        <v>212</v>
      </c>
      <c r="D152" s="201">
        <v>111.8</v>
      </c>
      <c r="E152" s="42">
        <f t="shared" si="12"/>
        <v>62.692551973023875</v>
      </c>
      <c r="F152" s="711">
        <v>5.05</v>
      </c>
      <c r="G152" s="43">
        <f t="shared" si="13"/>
        <v>316.59738746377053</v>
      </c>
    </row>
    <row r="153" spans="1:7" ht="15" x14ac:dyDescent="0.25">
      <c r="A153" s="35">
        <f t="shared" si="11"/>
        <v>106</v>
      </c>
      <c r="B153" s="70" t="str">
        <f>'[1]Под 1 и 2'!A126</f>
        <v>2/ 106</v>
      </c>
      <c r="C153" s="86" t="s">
        <v>213</v>
      </c>
      <c r="D153" s="201">
        <v>50.6</v>
      </c>
      <c r="E153" s="42">
        <f t="shared" si="12"/>
        <v>28.374267708721003</v>
      </c>
      <c r="F153" s="711">
        <v>5.05</v>
      </c>
      <c r="G153" s="43">
        <f t="shared" si="13"/>
        <v>143.29005192904106</v>
      </c>
    </row>
    <row r="154" spans="1:7" ht="15" x14ac:dyDescent="0.25">
      <c r="A154" s="35">
        <f t="shared" si="11"/>
        <v>107</v>
      </c>
      <c r="B154" s="70" t="str">
        <f>'[1]Под 1 и 2'!A127</f>
        <v>2/ 107</v>
      </c>
      <c r="C154" s="86" t="s">
        <v>214</v>
      </c>
      <c r="D154" s="201">
        <v>50.7</v>
      </c>
      <c r="E154" s="42">
        <f t="shared" si="12"/>
        <v>28.430343336603851</v>
      </c>
      <c r="F154" s="711">
        <v>5.05</v>
      </c>
      <c r="G154" s="43">
        <f t="shared" si="13"/>
        <v>143.57323384984943</v>
      </c>
    </row>
    <row r="155" spans="1:7" ht="15" x14ac:dyDescent="0.25">
      <c r="A155" s="35">
        <f t="shared" si="11"/>
        <v>108</v>
      </c>
      <c r="B155" s="70" t="str">
        <f>'[1]Под 1 и 2'!A128</f>
        <v>2/ 108</v>
      </c>
      <c r="C155" s="86" t="s">
        <v>214</v>
      </c>
      <c r="D155" s="201">
        <v>80.8</v>
      </c>
      <c r="E155" s="42">
        <f t="shared" si="12"/>
        <v>45.309107329341046</v>
      </c>
      <c r="F155" s="711">
        <v>5.05</v>
      </c>
      <c r="G155" s="43">
        <f t="shared" si="13"/>
        <v>228.81099201317227</v>
      </c>
    </row>
    <row r="156" spans="1:7" ht="15" x14ac:dyDescent="0.25">
      <c r="A156" s="35">
        <f t="shared" si="11"/>
        <v>109</v>
      </c>
      <c r="B156" s="70" t="str">
        <f>'[1]Под 1 и 2'!A129</f>
        <v>2/ 109</v>
      </c>
      <c r="C156" s="86" t="s">
        <v>215</v>
      </c>
      <c r="D156" s="201">
        <v>112</v>
      </c>
      <c r="E156" s="42">
        <f t="shared" si="12"/>
        <v>62.80470322878957</v>
      </c>
      <c r="F156" s="711">
        <v>5.05</v>
      </c>
      <c r="G156" s="43">
        <f t="shared" si="13"/>
        <v>317.16375130538734</v>
      </c>
    </row>
    <row r="157" spans="1:7" ht="15" x14ac:dyDescent="0.25">
      <c r="A157" s="35">
        <f t="shared" si="11"/>
        <v>110</v>
      </c>
      <c r="B157" s="70" t="str">
        <f>'[1]Под 1 и 2'!A130</f>
        <v>2/ 110</v>
      </c>
      <c r="C157" s="86" t="s">
        <v>216</v>
      </c>
      <c r="D157" s="205">
        <f>50.5</f>
        <v>50.5</v>
      </c>
      <c r="E157" s="42">
        <f t="shared" si="12"/>
        <v>28.318192080838156</v>
      </c>
      <c r="F157" s="711">
        <v>5.05</v>
      </c>
      <c r="G157" s="43">
        <f t="shared" si="13"/>
        <v>143.00687000823268</v>
      </c>
    </row>
    <row r="158" spans="1:7" ht="15" x14ac:dyDescent="0.25">
      <c r="A158" s="35">
        <f t="shared" si="11"/>
        <v>111</v>
      </c>
      <c r="B158" s="70" t="str">
        <f>'[1]Под 1 и 2'!A131</f>
        <v>2/ 111</v>
      </c>
      <c r="C158" s="90" t="s">
        <v>217</v>
      </c>
      <c r="D158" s="205">
        <v>50.1</v>
      </c>
      <c r="E158" s="42">
        <f t="shared" si="12"/>
        <v>28.093889569306764</v>
      </c>
      <c r="F158" s="711">
        <v>5.05</v>
      </c>
      <c r="G158" s="43">
        <f t="shared" si="13"/>
        <v>141.87414232499916</v>
      </c>
    </row>
    <row r="159" spans="1:7" ht="15" x14ac:dyDescent="0.25">
      <c r="A159" s="35">
        <f t="shared" si="11"/>
        <v>112</v>
      </c>
      <c r="B159" s="70" t="str">
        <f>'[1]Под 1 и 2'!A132</f>
        <v>2/ 112</v>
      </c>
      <c r="C159" s="90" t="s">
        <v>218</v>
      </c>
      <c r="D159" s="201">
        <v>80.400000000000006</v>
      </c>
      <c r="E159" s="42">
        <f t="shared" si="12"/>
        <v>45.084804817809662</v>
      </c>
      <c r="F159" s="711">
        <v>5.05</v>
      </c>
      <c r="G159" s="43">
        <f t="shared" si="13"/>
        <v>227.6782643299388</v>
      </c>
    </row>
    <row r="160" spans="1:7" ht="15" x14ac:dyDescent="0.25">
      <c r="A160" s="35">
        <f t="shared" si="11"/>
        <v>113</v>
      </c>
      <c r="B160" s="70" t="str">
        <f>'[1]Под 3'!A7</f>
        <v>3/ 113</v>
      </c>
      <c r="C160" s="35" t="s">
        <v>219</v>
      </c>
      <c r="D160" s="205">
        <v>72.599999999999994</v>
      </c>
      <c r="E160" s="42">
        <f t="shared" ref="E160:E191" si="14">D160/$A$5*$E$4</f>
        <v>40.710905842947525</v>
      </c>
      <c r="F160" s="711">
        <v>5.05</v>
      </c>
      <c r="G160" s="43">
        <f t="shared" si="13"/>
        <v>205.590074506885</v>
      </c>
    </row>
    <row r="161" spans="1:7" ht="15" x14ac:dyDescent="0.25">
      <c r="A161" s="35">
        <f t="shared" si="11"/>
        <v>114</v>
      </c>
      <c r="B161" s="70" t="str">
        <f>'[1]Под 3'!A8</f>
        <v>3/ 114</v>
      </c>
      <c r="C161" s="94" t="s">
        <v>220</v>
      </c>
      <c r="D161" s="201">
        <v>50.9</v>
      </c>
      <c r="E161" s="42">
        <f t="shared" si="14"/>
        <v>28.542494592369543</v>
      </c>
      <c r="F161" s="711">
        <v>5.05</v>
      </c>
      <c r="G161" s="43">
        <f t="shared" si="13"/>
        <v>144.13959769146618</v>
      </c>
    </row>
    <row r="162" spans="1:7" ht="15" x14ac:dyDescent="0.25">
      <c r="A162" s="35">
        <f t="shared" si="11"/>
        <v>115</v>
      </c>
      <c r="B162" s="70" t="str">
        <f>'[1]Под 3'!A9</f>
        <v>3/ 115</v>
      </c>
      <c r="C162" s="94" t="s">
        <v>221</v>
      </c>
      <c r="D162" s="201">
        <v>49</v>
      </c>
      <c r="E162" s="42">
        <f t="shared" si="14"/>
        <v>27.477057662595435</v>
      </c>
      <c r="F162" s="711">
        <v>5.05</v>
      </c>
      <c r="G162" s="43">
        <f t="shared" si="13"/>
        <v>138.75914119610695</v>
      </c>
    </row>
    <row r="163" spans="1:7" ht="15" x14ac:dyDescent="0.25">
      <c r="A163" s="35">
        <f t="shared" si="11"/>
        <v>116</v>
      </c>
      <c r="B163" s="70" t="str">
        <f>'[1]Под 3'!A10</f>
        <v>3/ 116</v>
      </c>
      <c r="C163" s="90" t="s">
        <v>222</v>
      </c>
      <c r="D163" s="201">
        <v>73.400000000000006</v>
      </c>
      <c r="E163" s="42">
        <f t="shared" si="14"/>
        <v>41.159510866010308</v>
      </c>
      <c r="F163" s="711">
        <v>5.05</v>
      </c>
      <c r="G163" s="43">
        <f t="shared" si="13"/>
        <v>207.85552987335205</v>
      </c>
    </row>
    <row r="164" spans="1:7" ht="15" x14ac:dyDescent="0.25">
      <c r="A164" s="35">
        <f t="shared" si="11"/>
        <v>117</v>
      </c>
      <c r="B164" s="70" t="str">
        <f>'[1]Под 3'!A11</f>
        <v>3/ 117</v>
      </c>
      <c r="C164" s="86" t="s">
        <v>223</v>
      </c>
      <c r="D164" s="201">
        <v>118.6</v>
      </c>
      <c r="E164" s="42">
        <f t="shared" si="14"/>
        <v>66.505694669057519</v>
      </c>
      <c r="F164" s="711">
        <v>5.05</v>
      </c>
      <c r="G164" s="43">
        <f t="shared" si="13"/>
        <v>335.85375807874044</v>
      </c>
    </row>
    <row r="165" spans="1:7" ht="15" x14ac:dyDescent="0.25">
      <c r="A165" s="35">
        <f t="shared" si="11"/>
        <v>118</v>
      </c>
      <c r="B165" s="70" t="str">
        <f>'[1]Под 3'!A12</f>
        <v>3/ 118</v>
      </c>
      <c r="C165" s="86" t="s">
        <v>224</v>
      </c>
      <c r="D165" s="201">
        <v>120.6</v>
      </c>
      <c r="E165" s="42">
        <f t="shared" si="14"/>
        <v>67.627207226714475</v>
      </c>
      <c r="F165" s="711">
        <v>5.05</v>
      </c>
      <c r="G165" s="43">
        <f t="shared" si="13"/>
        <v>341.5173964949081</v>
      </c>
    </row>
    <row r="166" spans="1:7" ht="15" x14ac:dyDescent="0.25">
      <c r="A166" s="35">
        <f t="shared" si="11"/>
        <v>119</v>
      </c>
      <c r="B166" s="70" t="str">
        <f>'[1]Под 3'!A13</f>
        <v>3/ 119</v>
      </c>
      <c r="C166" s="90" t="s">
        <v>225</v>
      </c>
      <c r="D166" s="201">
        <v>71.599999999999994</v>
      </c>
      <c r="E166" s="42">
        <f t="shared" si="14"/>
        <v>40.15014956411904</v>
      </c>
      <c r="F166" s="711">
        <v>5.05</v>
      </c>
      <c r="G166" s="43">
        <f t="shared" si="13"/>
        <v>202.75825529880115</v>
      </c>
    </row>
    <row r="167" spans="1:7" ht="15" x14ac:dyDescent="0.25">
      <c r="A167" s="35">
        <f t="shared" si="11"/>
        <v>120</v>
      </c>
      <c r="B167" s="70" t="str">
        <f>'[1]Под 3'!A14</f>
        <v>3/ 120</v>
      </c>
      <c r="C167" s="86" t="s">
        <v>226</v>
      </c>
      <c r="D167" s="201">
        <v>72.8</v>
      </c>
      <c r="E167" s="42">
        <f t="shared" si="14"/>
        <v>40.823057098713221</v>
      </c>
      <c r="F167" s="711">
        <v>5.05</v>
      </c>
      <c r="G167" s="43">
        <f t="shared" si="13"/>
        <v>206.15643834850175</v>
      </c>
    </row>
    <row r="168" spans="1:7" ht="15" x14ac:dyDescent="0.25">
      <c r="A168" s="35">
        <f t="shared" si="11"/>
        <v>121</v>
      </c>
      <c r="B168" s="70" t="str">
        <f>'[1]Под 3'!A15</f>
        <v>3/ 121</v>
      </c>
      <c r="C168" s="85" t="s">
        <v>227</v>
      </c>
      <c r="D168" s="201">
        <v>120.7</v>
      </c>
      <c r="E168" s="42">
        <f t="shared" si="14"/>
        <v>67.683282854597337</v>
      </c>
      <c r="F168" s="711">
        <v>5.05</v>
      </c>
      <c r="G168" s="43">
        <f t="shared" si="13"/>
        <v>341.80057841571653</v>
      </c>
    </row>
    <row r="169" spans="1:7" ht="15" x14ac:dyDescent="0.25">
      <c r="A169" s="35">
        <f t="shared" si="11"/>
        <v>122</v>
      </c>
      <c r="B169" s="70" t="str">
        <f>'[1]Под 3'!A16</f>
        <v>3/ 122</v>
      </c>
      <c r="C169" s="90" t="s">
        <v>228</v>
      </c>
      <c r="D169" s="201">
        <v>120.9</v>
      </c>
      <c r="E169" s="42">
        <f t="shared" si="14"/>
        <v>67.795434110363033</v>
      </c>
      <c r="F169" s="711">
        <v>5.05</v>
      </c>
      <c r="G169" s="43">
        <f t="shared" si="13"/>
        <v>342.36694225733328</v>
      </c>
    </row>
    <row r="170" spans="1:7" ht="15" x14ac:dyDescent="0.25">
      <c r="A170" s="35">
        <f t="shared" si="11"/>
        <v>123</v>
      </c>
      <c r="B170" s="70" t="str">
        <f>'[1]Под 3'!A17</f>
        <v>3/ 123</v>
      </c>
      <c r="C170" s="79" t="s">
        <v>229</v>
      </c>
      <c r="D170" s="201">
        <v>71.7</v>
      </c>
      <c r="E170" s="42">
        <f t="shared" si="14"/>
        <v>40.206225192001895</v>
      </c>
      <c r="F170" s="711">
        <v>5.05</v>
      </c>
      <c r="G170" s="43">
        <f t="shared" si="13"/>
        <v>203.04143721960958</v>
      </c>
    </row>
    <row r="171" spans="1:7" ht="15" x14ac:dyDescent="0.25">
      <c r="A171" s="35">
        <f t="shared" si="11"/>
        <v>124</v>
      </c>
      <c r="B171" s="70" t="str">
        <f>'[1]Под 3'!A18</f>
        <v>3/ 124</v>
      </c>
      <c r="C171" s="94" t="s">
        <v>230</v>
      </c>
      <c r="D171" s="201">
        <v>73</v>
      </c>
      <c r="E171" s="42">
        <f t="shared" si="14"/>
        <v>40.935208354478917</v>
      </c>
      <c r="F171" s="711">
        <v>5.05</v>
      </c>
      <c r="G171" s="43">
        <f t="shared" si="13"/>
        <v>206.72280219011853</v>
      </c>
    </row>
    <row r="172" spans="1:7" ht="15" x14ac:dyDescent="0.25">
      <c r="A172" s="35">
        <f t="shared" si="11"/>
        <v>125</v>
      </c>
      <c r="B172" s="70" t="str">
        <f>'[1]Под 3'!A19</f>
        <v>3/ 125</v>
      </c>
      <c r="C172" s="79" t="s">
        <v>231</v>
      </c>
      <c r="D172" s="201">
        <v>119.8</v>
      </c>
      <c r="E172" s="42">
        <f t="shared" si="14"/>
        <v>67.178602203651707</v>
      </c>
      <c r="F172" s="711">
        <v>5.05</v>
      </c>
      <c r="G172" s="43">
        <f t="shared" si="13"/>
        <v>339.2519411284411</v>
      </c>
    </row>
    <row r="173" spans="1:7" ht="15" x14ac:dyDescent="0.25">
      <c r="A173" s="35">
        <f t="shared" si="11"/>
        <v>126</v>
      </c>
      <c r="B173" s="70" t="str">
        <f>'[1]Под 3'!A20</f>
        <v>3/ 126</v>
      </c>
      <c r="C173" s="94" t="s">
        <v>232</v>
      </c>
      <c r="D173" s="201">
        <v>120.8</v>
      </c>
      <c r="E173" s="42">
        <f t="shared" si="14"/>
        <v>67.739358482480185</v>
      </c>
      <c r="F173" s="711">
        <v>5.05</v>
      </c>
      <c r="G173" s="43">
        <f t="shared" si="13"/>
        <v>342.0837603365249</v>
      </c>
    </row>
    <row r="174" spans="1:7" ht="15" x14ac:dyDescent="0.25">
      <c r="A174" s="35">
        <f t="shared" si="11"/>
        <v>127</v>
      </c>
      <c r="B174" s="70" t="str">
        <f>'[1]Под 3'!A21</f>
        <v>3/ 127</v>
      </c>
      <c r="C174" s="94" t="s">
        <v>233</v>
      </c>
      <c r="D174" s="201">
        <v>71.2</v>
      </c>
      <c r="E174" s="42">
        <f t="shared" si="14"/>
        <v>39.925847052587656</v>
      </c>
      <c r="F174" s="711">
        <v>5.05</v>
      </c>
      <c r="G174" s="43">
        <f t="shared" si="13"/>
        <v>201.62552761556765</v>
      </c>
    </row>
    <row r="175" spans="1:7" ht="15" x14ac:dyDescent="0.25">
      <c r="A175" s="35">
        <f t="shared" si="11"/>
        <v>128</v>
      </c>
      <c r="B175" s="70" t="str">
        <f>'[1]Под 3'!A22</f>
        <v>3/ 128</v>
      </c>
      <c r="C175" s="90" t="s">
        <v>234</v>
      </c>
      <c r="D175" s="201">
        <v>72.8</v>
      </c>
      <c r="E175" s="42">
        <f t="shared" si="14"/>
        <v>40.823057098713221</v>
      </c>
      <c r="F175" s="711">
        <v>5.05</v>
      </c>
      <c r="G175" s="43">
        <f t="shared" si="13"/>
        <v>206.15643834850175</v>
      </c>
    </row>
    <row r="176" spans="1:7" ht="15" x14ac:dyDescent="0.25">
      <c r="A176" s="35">
        <f t="shared" si="11"/>
        <v>129</v>
      </c>
      <c r="B176" s="70" t="str">
        <f>'[1]Под 3'!A23</f>
        <v>3/ 129</v>
      </c>
      <c r="C176" s="86" t="s">
        <v>235</v>
      </c>
      <c r="D176" s="201">
        <v>119.5</v>
      </c>
      <c r="E176" s="42">
        <f t="shared" si="14"/>
        <v>67.010375320003149</v>
      </c>
      <c r="F176" s="711">
        <v>5.05</v>
      </c>
      <c r="G176" s="43">
        <f t="shared" si="13"/>
        <v>338.40239536601587</v>
      </c>
    </row>
    <row r="177" spans="1:7" ht="15" x14ac:dyDescent="0.25">
      <c r="A177" s="35">
        <f t="shared" si="11"/>
        <v>130</v>
      </c>
      <c r="B177" s="70" t="str">
        <f>'[1]Под 3'!A24</f>
        <v>3/ 130</v>
      </c>
      <c r="C177" s="86" t="s">
        <v>236</v>
      </c>
      <c r="D177" s="201">
        <v>120.5</v>
      </c>
      <c r="E177" s="42">
        <f t="shared" si="14"/>
        <v>67.571131598831627</v>
      </c>
      <c r="F177" s="711">
        <v>5.05</v>
      </c>
      <c r="G177" s="43">
        <f t="shared" si="13"/>
        <v>341.23421457409972</v>
      </c>
    </row>
    <row r="178" spans="1:7" ht="15" x14ac:dyDescent="0.25">
      <c r="A178" s="35">
        <f>A177+1</f>
        <v>131</v>
      </c>
      <c r="B178" s="70" t="str">
        <f>'[1]Под 3'!A25</f>
        <v>3/ 131</v>
      </c>
      <c r="C178" s="90" t="s">
        <v>237</v>
      </c>
      <c r="D178" s="201">
        <v>75.099999999999994</v>
      </c>
      <c r="E178" s="42">
        <f t="shared" si="14"/>
        <v>42.112796540018714</v>
      </c>
      <c r="F178" s="711">
        <v>5.05</v>
      </c>
      <c r="G178" s="43">
        <f t="shared" si="13"/>
        <v>212.6696225270945</v>
      </c>
    </row>
    <row r="179" spans="1:7" ht="15" x14ac:dyDescent="0.25">
      <c r="A179" s="35">
        <f t="shared" si="11"/>
        <v>132</v>
      </c>
      <c r="B179" s="70" t="str">
        <f>'[1]Под 3'!A26</f>
        <v>3/ 132</v>
      </c>
      <c r="C179" s="86" t="s">
        <v>238</v>
      </c>
      <c r="D179" s="201">
        <v>73.2</v>
      </c>
      <c r="E179" s="42">
        <f t="shared" si="14"/>
        <v>41.047359610244612</v>
      </c>
      <c r="F179" s="711">
        <v>5.05</v>
      </c>
      <c r="G179" s="43">
        <f t="shared" si="13"/>
        <v>207.28916603173528</v>
      </c>
    </row>
    <row r="180" spans="1:7" ht="15" x14ac:dyDescent="0.25">
      <c r="A180" s="35">
        <f t="shared" ref="A180:A237" si="15">A179+1</f>
        <v>133</v>
      </c>
      <c r="B180" s="70" t="str">
        <f>'[1]Под 3'!A27</f>
        <v>3/ 133</v>
      </c>
      <c r="C180" s="90" t="s">
        <v>239</v>
      </c>
      <c r="D180" s="201">
        <v>119.4</v>
      </c>
      <c r="E180" s="42">
        <f t="shared" si="14"/>
        <v>66.954299692120301</v>
      </c>
      <c r="F180" s="711">
        <v>5.05</v>
      </c>
      <c r="G180" s="43">
        <f t="shared" si="13"/>
        <v>338.11921344520749</v>
      </c>
    </row>
    <row r="181" spans="1:7" ht="15" x14ac:dyDescent="0.25">
      <c r="A181" s="35">
        <f t="shared" si="15"/>
        <v>134</v>
      </c>
      <c r="B181" s="70" t="str">
        <f>'[1]Под 3'!A28</f>
        <v>3/ 134</v>
      </c>
      <c r="C181" s="79" t="s">
        <v>240</v>
      </c>
      <c r="D181" s="201">
        <v>120.6</v>
      </c>
      <c r="E181" s="42">
        <f t="shared" si="14"/>
        <v>67.627207226714475</v>
      </c>
      <c r="F181" s="711">
        <v>5.05</v>
      </c>
      <c r="G181" s="43">
        <f t="shared" si="13"/>
        <v>341.5173964949081</v>
      </c>
    </row>
    <row r="182" spans="1:7" ht="15" x14ac:dyDescent="0.25">
      <c r="A182" s="35">
        <f t="shared" si="15"/>
        <v>135</v>
      </c>
      <c r="B182" s="70" t="str">
        <f>'[1]Под 3'!A29</f>
        <v>3/ 135</v>
      </c>
      <c r="C182" s="95" t="s">
        <v>241</v>
      </c>
      <c r="D182" s="201">
        <v>73.5</v>
      </c>
      <c r="E182" s="42">
        <f t="shared" si="14"/>
        <v>41.215586493893156</v>
      </c>
      <c r="F182" s="711">
        <v>5.05</v>
      </c>
      <c r="G182" s="43">
        <f t="shared" si="13"/>
        <v>208.13871179416043</v>
      </c>
    </row>
    <row r="183" spans="1:7" ht="15" x14ac:dyDescent="0.25">
      <c r="A183" s="35">
        <f t="shared" si="15"/>
        <v>136</v>
      </c>
      <c r="B183" s="70" t="str">
        <f>'[1]Под 3'!A30</f>
        <v>3/ 136</v>
      </c>
      <c r="C183" s="94" t="s">
        <v>242</v>
      </c>
      <c r="D183" s="201">
        <v>72.900000000000006</v>
      </c>
      <c r="E183" s="42">
        <f t="shared" si="14"/>
        <v>40.879132726596069</v>
      </c>
      <c r="F183" s="711">
        <v>5.05</v>
      </c>
      <c r="G183" s="43">
        <f t="shared" si="13"/>
        <v>206.43962026931015</v>
      </c>
    </row>
    <row r="184" spans="1:7" ht="15" x14ac:dyDescent="0.25">
      <c r="A184" s="35">
        <f t="shared" si="15"/>
        <v>137</v>
      </c>
      <c r="B184" s="70" t="str">
        <f>'[1]Под 3'!A31</f>
        <v>3/ 137</v>
      </c>
      <c r="C184" s="96" t="s">
        <v>243</v>
      </c>
      <c r="D184" s="201">
        <v>179.7</v>
      </c>
      <c r="E184" s="42">
        <f t="shared" si="14"/>
        <v>100.76790330547753</v>
      </c>
      <c r="F184" s="711">
        <v>5.05</v>
      </c>
      <c r="G184" s="43">
        <f t="shared" si="13"/>
        <v>508.87791169266154</v>
      </c>
    </row>
    <row r="185" spans="1:7" ht="15" x14ac:dyDescent="0.25">
      <c r="A185" s="35">
        <f t="shared" si="15"/>
        <v>138</v>
      </c>
      <c r="B185" s="70" t="str">
        <f>'[1]Под 4 и 5'!A7</f>
        <v>4/ 138</v>
      </c>
      <c r="C185" s="79" t="s">
        <v>244</v>
      </c>
      <c r="D185" s="205">
        <v>106.2</v>
      </c>
      <c r="E185" s="42">
        <f t="shared" si="14"/>
        <v>59.552316811584404</v>
      </c>
      <c r="F185" s="711">
        <v>5.05</v>
      </c>
      <c r="G185" s="43">
        <f t="shared" si="13"/>
        <v>300.73919989850123</v>
      </c>
    </row>
    <row r="186" spans="1:7" ht="15" x14ac:dyDescent="0.25">
      <c r="A186" s="35">
        <f t="shared" si="15"/>
        <v>139</v>
      </c>
      <c r="B186" s="70" t="str">
        <f>'[1]Под 4 и 5'!A8</f>
        <v>4/ 139</v>
      </c>
      <c r="C186" s="94" t="s">
        <v>245</v>
      </c>
      <c r="D186" s="201">
        <f>72.7</f>
        <v>72.7</v>
      </c>
      <c r="E186" s="42">
        <f t="shared" si="14"/>
        <v>40.766981470830373</v>
      </c>
      <c r="F186" s="711">
        <v>5.05</v>
      </c>
      <c r="G186" s="43">
        <f t="shared" si="13"/>
        <v>205.87325642769338</v>
      </c>
    </row>
    <row r="187" spans="1:7" ht="15" x14ac:dyDescent="0.25">
      <c r="A187" s="35">
        <f t="shared" si="15"/>
        <v>140</v>
      </c>
      <c r="B187" s="70" t="str">
        <f>'[1]Под 4 и 5'!A9</f>
        <v>4/ 140</v>
      </c>
      <c r="C187" s="94" t="s">
        <v>246</v>
      </c>
      <c r="D187" s="201">
        <v>48.8</v>
      </c>
      <c r="E187" s="42">
        <f t="shared" si="14"/>
        <v>27.364906406829739</v>
      </c>
      <c r="F187" s="711">
        <v>5.05</v>
      </c>
      <c r="G187" s="43">
        <f t="shared" si="13"/>
        <v>138.19277735449018</v>
      </c>
    </row>
    <row r="188" spans="1:7" ht="15" x14ac:dyDescent="0.25">
      <c r="A188" s="35">
        <f t="shared" si="15"/>
        <v>141</v>
      </c>
      <c r="B188" s="70" t="str">
        <f>'[1]Под 4 и 5'!A10</f>
        <v>4/ 141</v>
      </c>
      <c r="C188" s="90" t="s">
        <v>247</v>
      </c>
      <c r="D188" s="201">
        <v>50.9</v>
      </c>
      <c r="E188" s="42">
        <f t="shared" si="14"/>
        <v>28.542494592369543</v>
      </c>
      <c r="F188" s="711">
        <v>5.05</v>
      </c>
      <c r="G188" s="43">
        <f t="shared" si="13"/>
        <v>144.13959769146618</v>
      </c>
    </row>
    <row r="189" spans="1:7" ht="15" x14ac:dyDescent="0.25">
      <c r="A189" s="35">
        <f t="shared" si="15"/>
        <v>142</v>
      </c>
      <c r="B189" s="70" t="str">
        <f>'[1]Под 4 и 5'!A11</f>
        <v>4/ 142-эт.3</v>
      </c>
      <c r="C189" s="86" t="s">
        <v>219</v>
      </c>
      <c r="D189" s="201">
        <v>57.9</v>
      </c>
      <c r="E189" s="42">
        <f t="shared" si="14"/>
        <v>32.46778854416889</v>
      </c>
      <c r="F189" s="711">
        <v>5.05</v>
      </c>
      <c r="G189" s="43">
        <f t="shared" si="13"/>
        <v>163.96233214805289</v>
      </c>
    </row>
    <row r="190" spans="1:7" ht="15" x14ac:dyDescent="0.25">
      <c r="A190" s="35">
        <f t="shared" si="15"/>
        <v>143</v>
      </c>
      <c r="B190" s="70" t="str">
        <f>'[1]Под 4 и 5'!A12</f>
        <v>4/ 143</v>
      </c>
      <c r="C190" s="86" t="s">
        <v>248</v>
      </c>
      <c r="D190" s="201">
        <v>106.2</v>
      </c>
      <c r="E190" s="42">
        <f t="shared" si="14"/>
        <v>59.552316811584404</v>
      </c>
      <c r="F190" s="711">
        <v>5.05</v>
      </c>
      <c r="G190" s="43">
        <f t="shared" si="13"/>
        <v>300.73919989850123</v>
      </c>
    </row>
    <row r="191" spans="1:7" ht="15" x14ac:dyDescent="0.25">
      <c r="A191" s="35">
        <f t="shared" si="15"/>
        <v>144</v>
      </c>
      <c r="B191" s="70" t="str">
        <f>'[1]Под 4 и 5'!A13</f>
        <v>4/ 144</v>
      </c>
      <c r="C191" s="90" t="s">
        <v>249</v>
      </c>
      <c r="D191" s="201">
        <v>73.599999999999994</v>
      </c>
      <c r="E191" s="42">
        <f t="shared" si="14"/>
        <v>41.271662121776004</v>
      </c>
      <c r="F191" s="711">
        <v>5.05</v>
      </c>
      <c r="G191" s="43">
        <f t="shared" si="13"/>
        <v>208.4218937149688</v>
      </c>
    </row>
    <row r="192" spans="1:7" ht="15" x14ac:dyDescent="0.25">
      <c r="A192" s="35">
        <f t="shared" si="15"/>
        <v>145</v>
      </c>
      <c r="B192" s="70" t="str">
        <f>'[1]Под 4 и 5'!A14</f>
        <v>4/ 145</v>
      </c>
      <c r="C192" s="86" t="s">
        <v>250</v>
      </c>
      <c r="D192" s="201">
        <v>73.900000000000006</v>
      </c>
      <c r="E192" s="42">
        <f t="shared" ref="E192:E223" si="16">D192/$A$5*$E$4</f>
        <v>41.439889005424547</v>
      </c>
      <c r="F192" s="711">
        <v>5.05</v>
      </c>
      <c r="G192" s="43">
        <f t="shared" si="13"/>
        <v>209.27143947739395</v>
      </c>
    </row>
    <row r="193" spans="1:7" ht="15" x14ac:dyDescent="0.25">
      <c r="A193" s="35">
        <f t="shared" si="15"/>
        <v>146</v>
      </c>
      <c r="B193" s="70" t="str">
        <f>'[1]Под 4 и 5'!A15</f>
        <v>4/ 146</v>
      </c>
      <c r="C193" s="86" t="s">
        <v>251</v>
      </c>
      <c r="D193" s="201">
        <v>105.6</v>
      </c>
      <c r="E193" s="42">
        <f t="shared" si="16"/>
        <v>59.215863044287303</v>
      </c>
      <c r="F193" s="711">
        <v>5.05</v>
      </c>
      <c r="G193" s="43">
        <f t="shared" si="13"/>
        <v>299.04010837365087</v>
      </c>
    </row>
    <row r="194" spans="1:7" ht="15" x14ac:dyDescent="0.25">
      <c r="A194" s="35">
        <f t="shared" si="15"/>
        <v>147</v>
      </c>
      <c r="B194" s="70" t="str">
        <f>'[1]Под 4 и 5'!A16</f>
        <v>4/ 147</v>
      </c>
      <c r="C194" s="90" t="s">
        <v>252</v>
      </c>
      <c r="D194" s="201">
        <v>104.5</v>
      </c>
      <c r="E194" s="42">
        <f t="shared" si="16"/>
        <v>58.599031137575984</v>
      </c>
      <c r="F194" s="711">
        <v>5.05</v>
      </c>
      <c r="G194" s="43">
        <f t="shared" si="13"/>
        <v>295.92510724475869</v>
      </c>
    </row>
    <row r="195" spans="1:7" ht="15" x14ac:dyDescent="0.25">
      <c r="A195" s="35">
        <f t="shared" si="15"/>
        <v>148</v>
      </c>
      <c r="B195" s="70" t="str">
        <f>'[1]Под 4 и 5'!A17</f>
        <v>4/ 148</v>
      </c>
      <c r="C195" s="79" t="s">
        <v>253</v>
      </c>
      <c r="D195" s="201">
        <v>73.8</v>
      </c>
      <c r="E195" s="42">
        <f t="shared" si="16"/>
        <v>41.383813377541699</v>
      </c>
      <c r="F195" s="711">
        <v>5.05</v>
      </c>
      <c r="G195" s="43">
        <f t="shared" si="13"/>
        <v>208.98825755658558</v>
      </c>
    </row>
    <row r="196" spans="1:7" ht="15" x14ac:dyDescent="0.25">
      <c r="A196" s="35">
        <f t="shared" si="15"/>
        <v>149</v>
      </c>
      <c r="B196" s="70" t="str">
        <f>'[1]Под 4 и 5'!A18</f>
        <v>4/ 149</v>
      </c>
      <c r="C196" s="94" t="s">
        <v>254</v>
      </c>
      <c r="D196" s="201">
        <v>74.900000000000006</v>
      </c>
      <c r="E196" s="42">
        <f t="shared" si="16"/>
        <v>42.000645284253025</v>
      </c>
      <c r="F196" s="711">
        <v>5.05</v>
      </c>
      <c r="G196" s="43">
        <f t="shared" si="13"/>
        <v>212.10325868547778</v>
      </c>
    </row>
    <row r="197" spans="1:7" ht="15" x14ac:dyDescent="0.25">
      <c r="A197" s="35">
        <f t="shared" si="15"/>
        <v>150</v>
      </c>
      <c r="B197" s="70" t="str">
        <f>'[1]Под 4 и 5'!A19</f>
        <v>4/ 150</v>
      </c>
      <c r="C197" s="79" t="s">
        <v>255</v>
      </c>
      <c r="D197" s="201">
        <v>105.5</v>
      </c>
      <c r="E197" s="42">
        <f t="shared" si="16"/>
        <v>59.159787416404463</v>
      </c>
      <c r="F197" s="711">
        <v>5.05</v>
      </c>
      <c r="G197" s="43">
        <f t="shared" si="13"/>
        <v>298.75692645284255</v>
      </c>
    </row>
    <row r="198" spans="1:7" ht="15" x14ac:dyDescent="0.25">
      <c r="A198" s="35">
        <f t="shared" si="15"/>
        <v>151</v>
      </c>
      <c r="B198" s="70" t="str">
        <f>'[1]Под 4 и 5'!A20</f>
        <v>4/ 151</v>
      </c>
      <c r="C198" s="94" t="s">
        <v>256</v>
      </c>
      <c r="D198" s="201">
        <v>106.3</v>
      </c>
      <c r="E198" s="42">
        <f t="shared" si="16"/>
        <v>59.608392439467245</v>
      </c>
      <c r="F198" s="711">
        <v>5.05</v>
      </c>
      <c r="G198" s="43">
        <f t="shared" si="13"/>
        <v>301.0223818193096</v>
      </c>
    </row>
    <row r="199" spans="1:7" ht="15" x14ac:dyDescent="0.25">
      <c r="A199" s="35">
        <f t="shared" si="15"/>
        <v>152</v>
      </c>
      <c r="B199" s="70" t="str">
        <f>'[1]Под 4 и 5'!A21</f>
        <v>4/ 152</v>
      </c>
      <c r="C199" s="94" t="s">
        <v>257</v>
      </c>
      <c r="D199" s="201">
        <v>74.900000000000006</v>
      </c>
      <c r="E199" s="42">
        <f t="shared" si="16"/>
        <v>42.000645284253025</v>
      </c>
      <c r="F199" s="711">
        <v>5.05</v>
      </c>
      <c r="G199" s="43">
        <f t="shared" si="13"/>
        <v>212.10325868547778</v>
      </c>
    </row>
    <row r="200" spans="1:7" ht="15" x14ac:dyDescent="0.25">
      <c r="A200" s="35">
        <f t="shared" si="15"/>
        <v>153</v>
      </c>
      <c r="B200" s="70" t="str">
        <f>'[1]Под 4 и 5'!A22</f>
        <v>4/ 153</v>
      </c>
      <c r="C200" s="90" t="s">
        <v>258</v>
      </c>
      <c r="D200" s="201">
        <v>78.599999999999994</v>
      </c>
      <c r="E200" s="42">
        <f t="shared" si="16"/>
        <v>44.075443515918394</v>
      </c>
      <c r="F200" s="711">
        <v>5.05</v>
      </c>
      <c r="G200" s="43">
        <f t="shared" si="13"/>
        <v>222.58098975538789</v>
      </c>
    </row>
    <row r="201" spans="1:7" ht="15" x14ac:dyDescent="0.25">
      <c r="A201" s="35">
        <f t="shared" si="15"/>
        <v>154</v>
      </c>
      <c r="B201" s="70" t="str">
        <f>'[1]Под 4 и 5'!A23</f>
        <v>4/ 154</v>
      </c>
      <c r="C201" s="86" t="s">
        <v>259</v>
      </c>
      <c r="D201" s="201">
        <v>105</v>
      </c>
      <c r="E201" s="42">
        <f t="shared" si="16"/>
        <v>58.879409276990224</v>
      </c>
      <c r="F201" s="711">
        <v>5.05</v>
      </c>
      <c r="G201" s="43">
        <f t="shared" si="13"/>
        <v>297.34101684880062</v>
      </c>
    </row>
    <row r="202" spans="1:7" ht="15" x14ac:dyDescent="0.25">
      <c r="A202" s="35">
        <f t="shared" si="15"/>
        <v>155</v>
      </c>
      <c r="B202" s="70" t="str">
        <f>'[1]Под 4 и 5'!A24</f>
        <v>4/ 155</v>
      </c>
      <c r="C202" s="86" t="s">
        <v>260</v>
      </c>
      <c r="D202" s="201">
        <f>106.3</f>
        <v>106.3</v>
      </c>
      <c r="E202" s="42">
        <f t="shared" si="16"/>
        <v>59.608392439467245</v>
      </c>
      <c r="F202" s="711">
        <v>5.05</v>
      </c>
      <c r="G202" s="43">
        <f t="shared" si="13"/>
        <v>301.0223818193096</v>
      </c>
    </row>
    <row r="203" spans="1:7" ht="15" x14ac:dyDescent="0.25">
      <c r="A203" s="35">
        <f t="shared" si="15"/>
        <v>156</v>
      </c>
      <c r="B203" s="70" t="str">
        <f>'[1]Под 4 и 5'!A25</f>
        <v>4/ 156</v>
      </c>
      <c r="C203" s="90" t="s">
        <v>261</v>
      </c>
      <c r="D203" s="201">
        <v>73.599999999999994</v>
      </c>
      <c r="E203" s="42">
        <f t="shared" si="16"/>
        <v>41.271662121776004</v>
      </c>
      <c r="F203" s="711">
        <v>5.05</v>
      </c>
      <c r="G203" s="43">
        <f t="shared" si="13"/>
        <v>208.4218937149688</v>
      </c>
    </row>
    <row r="204" spans="1:7" ht="15" x14ac:dyDescent="0.25">
      <c r="A204" s="35">
        <f t="shared" si="15"/>
        <v>157</v>
      </c>
      <c r="B204" s="70" t="str">
        <f>'[1]Под 4 и 5'!A26</f>
        <v>4/ 157</v>
      </c>
      <c r="C204" s="90" t="s">
        <v>262</v>
      </c>
      <c r="D204" s="201">
        <v>68.3</v>
      </c>
      <c r="E204" s="42">
        <f t="shared" si="16"/>
        <v>38.29965384398507</v>
      </c>
      <c r="F204" s="711">
        <v>5.05</v>
      </c>
      <c r="G204" s="43">
        <f t="shared" si="13"/>
        <v>193.41325191212459</v>
      </c>
    </row>
    <row r="205" spans="1:7" ht="15" x14ac:dyDescent="0.25">
      <c r="A205" s="35">
        <f t="shared" si="15"/>
        <v>158</v>
      </c>
      <c r="B205" s="70" t="str">
        <f>'[1]Под 4 и 5'!A27</f>
        <v>4/ 158</v>
      </c>
      <c r="C205" s="79" t="s">
        <v>167</v>
      </c>
      <c r="D205" s="201">
        <v>110.2</v>
      </c>
      <c r="E205" s="42">
        <f t="shared" si="16"/>
        <v>61.79534192689831</v>
      </c>
      <c r="F205" s="711">
        <v>5.05</v>
      </c>
      <c r="G205" s="43">
        <f t="shared" si="13"/>
        <v>312.06647673083643</v>
      </c>
    </row>
    <row r="206" spans="1:7" ht="15" x14ac:dyDescent="0.25">
      <c r="A206" s="35">
        <f t="shared" si="15"/>
        <v>159</v>
      </c>
      <c r="B206" s="70" t="str">
        <f>'[1]Под 4 и 5'!A28</f>
        <v>4/ 159</v>
      </c>
      <c r="C206" s="94" t="s">
        <v>263</v>
      </c>
      <c r="D206" s="201">
        <v>106.1</v>
      </c>
      <c r="E206" s="42">
        <f t="shared" si="16"/>
        <v>59.496241183701542</v>
      </c>
      <c r="F206" s="711">
        <v>5.05</v>
      </c>
      <c r="G206" s="43">
        <f t="shared" si="13"/>
        <v>300.4560179776928</v>
      </c>
    </row>
    <row r="207" spans="1:7" ht="15" x14ac:dyDescent="0.25">
      <c r="A207" s="35">
        <f t="shared" si="15"/>
        <v>160</v>
      </c>
      <c r="B207" s="70" t="str">
        <f>'[1]Под 4 и 5'!A29</f>
        <v>4/ 160</v>
      </c>
      <c r="C207" s="94" t="s">
        <v>264</v>
      </c>
      <c r="D207" s="201">
        <v>76.5</v>
      </c>
      <c r="E207" s="42">
        <f t="shared" si="16"/>
        <v>42.89785533037859</v>
      </c>
      <c r="F207" s="711">
        <v>5.05</v>
      </c>
      <c r="G207" s="43">
        <f t="shared" si="13"/>
        <v>216.63416941841189</v>
      </c>
    </row>
    <row r="208" spans="1:7" ht="15" x14ac:dyDescent="0.25">
      <c r="A208" s="35">
        <f t="shared" si="15"/>
        <v>161</v>
      </c>
      <c r="B208" s="70" t="str">
        <f>'[1]Под 4 и 5'!A30</f>
        <v>4/ 161</v>
      </c>
      <c r="C208" s="90" t="s">
        <v>265</v>
      </c>
      <c r="D208" s="201">
        <v>76</v>
      </c>
      <c r="E208" s="42">
        <f t="shared" si="16"/>
        <v>42.617477190964351</v>
      </c>
      <c r="F208" s="711">
        <v>5.05</v>
      </c>
      <c r="G208" s="43">
        <f t="shared" si="13"/>
        <v>215.21825981436996</v>
      </c>
    </row>
    <row r="209" spans="1:7" ht="15" x14ac:dyDescent="0.25">
      <c r="A209" s="35">
        <f t="shared" si="15"/>
        <v>162</v>
      </c>
      <c r="B209" s="70" t="str">
        <f>'[1]Под 4 и 5'!A31</f>
        <v>4/ 162</v>
      </c>
      <c r="C209" s="85" t="s">
        <v>266</v>
      </c>
      <c r="D209" s="201">
        <v>105.5</v>
      </c>
      <c r="E209" s="42">
        <f t="shared" si="16"/>
        <v>59.159787416404463</v>
      </c>
      <c r="F209" s="711">
        <v>5.05</v>
      </c>
      <c r="G209" s="43">
        <f t="shared" si="13"/>
        <v>298.75692645284255</v>
      </c>
    </row>
    <row r="210" spans="1:7" ht="15" x14ac:dyDescent="0.25">
      <c r="A210" s="35">
        <f t="shared" si="15"/>
        <v>163</v>
      </c>
      <c r="B210" s="70" t="str">
        <f>'[1]Под 4 и 5'!A32</f>
        <v>5/ 163</v>
      </c>
      <c r="C210" s="85" t="s">
        <v>267</v>
      </c>
      <c r="D210" s="205">
        <v>106.9</v>
      </c>
      <c r="E210" s="42">
        <f t="shared" si="16"/>
        <v>59.944846206764332</v>
      </c>
      <c r="F210" s="711">
        <v>5.05</v>
      </c>
      <c r="G210" s="43">
        <f t="shared" si="13"/>
        <v>302.72147334415985</v>
      </c>
    </row>
    <row r="211" spans="1:7" ht="15" x14ac:dyDescent="0.25">
      <c r="A211" s="35">
        <f t="shared" si="15"/>
        <v>164</v>
      </c>
      <c r="B211" s="70" t="str">
        <f>'[1]Под 4 и 5'!A33</f>
        <v>5/ 164</v>
      </c>
      <c r="C211" s="146" t="s">
        <v>267</v>
      </c>
      <c r="D211" s="201">
        <v>76.2</v>
      </c>
      <c r="E211" s="42">
        <f t="shared" si="16"/>
        <v>42.729628446730054</v>
      </c>
      <c r="F211" s="711">
        <v>5.05</v>
      </c>
      <c r="G211" s="43">
        <f t="shared" si="13"/>
        <v>215.78462365598676</v>
      </c>
    </row>
    <row r="212" spans="1:7" ht="15" x14ac:dyDescent="0.25">
      <c r="A212" s="35">
        <f t="shared" si="15"/>
        <v>165</v>
      </c>
      <c r="B212" s="70" t="str">
        <f>'[1]Под 4 и 5'!A34</f>
        <v>5/ 165</v>
      </c>
      <c r="C212" s="94" t="s">
        <v>958</v>
      </c>
      <c r="D212" s="201">
        <v>73.400000000000006</v>
      </c>
      <c r="E212" s="42">
        <f t="shared" si="16"/>
        <v>41.159510866010308</v>
      </c>
      <c r="F212" s="711">
        <v>5.05</v>
      </c>
      <c r="G212" s="43">
        <f t="shared" si="13"/>
        <v>207.85552987335205</v>
      </c>
    </row>
    <row r="213" spans="1:7" ht="15" x14ac:dyDescent="0.25">
      <c r="A213" s="35">
        <f t="shared" si="15"/>
        <v>166</v>
      </c>
      <c r="B213" s="70" t="str">
        <f>'[1]Под 4 и 5'!A35</f>
        <v>5/ 166</v>
      </c>
      <c r="C213" s="147" t="s">
        <v>268</v>
      </c>
      <c r="D213" s="201">
        <v>109.2</v>
      </c>
      <c r="E213" s="42">
        <f t="shared" si="16"/>
        <v>61.234585648069832</v>
      </c>
      <c r="F213" s="711">
        <v>5.05</v>
      </c>
      <c r="G213" s="43">
        <f t="shared" ref="G213:G237" si="17">E213*F213</f>
        <v>309.23465752275263</v>
      </c>
    </row>
    <row r="214" spans="1:7" ht="15" x14ac:dyDescent="0.25">
      <c r="A214" s="35">
        <f t="shared" si="15"/>
        <v>167</v>
      </c>
      <c r="B214" s="70" t="str">
        <f>'[1]Под 4 и 5'!A36</f>
        <v>5/ 167</v>
      </c>
      <c r="C214" s="86" t="s">
        <v>269</v>
      </c>
      <c r="D214" s="201">
        <v>107.2</v>
      </c>
      <c r="E214" s="42">
        <f t="shared" si="16"/>
        <v>60.113073090412875</v>
      </c>
      <c r="F214" s="711">
        <v>5.05</v>
      </c>
      <c r="G214" s="43">
        <f t="shared" si="17"/>
        <v>303.57101910658503</v>
      </c>
    </row>
    <row r="215" spans="1:7" ht="15" x14ac:dyDescent="0.25">
      <c r="A215" s="35">
        <f t="shared" si="15"/>
        <v>168</v>
      </c>
      <c r="B215" s="70" t="str">
        <f>'[1]Под 4 и 5'!A37</f>
        <v>5/ 168</v>
      </c>
      <c r="C215" s="86" t="s">
        <v>953</v>
      </c>
      <c r="D215" s="201">
        <v>76.599999999999994</v>
      </c>
      <c r="E215" s="42">
        <f t="shared" si="16"/>
        <v>42.953930958261431</v>
      </c>
      <c r="F215" s="711">
        <v>5.05</v>
      </c>
      <c r="G215" s="43">
        <f t="shared" si="17"/>
        <v>216.9173513392202</v>
      </c>
    </row>
    <row r="216" spans="1:7" ht="15" x14ac:dyDescent="0.25">
      <c r="A216" s="35">
        <f t="shared" si="15"/>
        <v>169</v>
      </c>
      <c r="B216" s="70" t="str">
        <f>'[1]Под 4 и 5'!A38</f>
        <v>5/ 169</v>
      </c>
      <c r="C216" s="90" t="s">
        <v>270</v>
      </c>
      <c r="D216" s="201">
        <v>74.3</v>
      </c>
      <c r="E216" s="42">
        <f t="shared" si="16"/>
        <v>41.664191516955938</v>
      </c>
      <c r="F216" s="711">
        <v>5.05</v>
      </c>
      <c r="G216" s="43">
        <f t="shared" si="17"/>
        <v>210.40416716062748</v>
      </c>
    </row>
    <row r="217" spans="1:7" ht="15" x14ac:dyDescent="0.25">
      <c r="A217" s="35">
        <f t="shared" si="15"/>
        <v>170</v>
      </c>
      <c r="B217" s="70" t="str">
        <f>'[1]Под 4 и 5'!A39</f>
        <v>5/ 170</v>
      </c>
      <c r="C217" s="35" t="s">
        <v>271</v>
      </c>
      <c r="D217" s="201">
        <v>107.6</v>
      </c>
      <c r="E217" s="42">
        <f t="shared" si="16"/>
        <v>60.33737560194426</v>
      </c>
      <c r="F217" s="711">
        <v>5.05</v>
      </c>
      <c r="G217" s="43">
        <f t="shared" si="17"/>
        <v>304.70374678981852</v>
      </c>
    </row>
    <row r="218" spans="1:7" ht="15" x14ac:dyDescent="0.25">
      <c r="A218" s="35">
        <f t="shared" si="15"/>
        <v>171</v>
      </c>
      <c r="B218" s="70" t="str">
        <f>'[1]Под 4 и 5'!A40</f>
        <v>5/ 171</v>
      </c>
      <c r="C218" s="86" t="s">
        <v>272</v>
      </c>
      <c r="D218" s="201">
        <v>107</v>
      </c>
      <c r="E218" s="42">
        <f t="shared" si="16"/>
        <v>60.00092183464718</v>
      </c>
      <c r="F218" s="711">
        <v>5.05</v>
      </c>
      <c r="G218" s="43">
        <f t="shared" si="17"/>
        <v>303.00465526496822</v>
      </c>
    </row>
    <row r="219" spans="1:7" ht="15" x14ac:dyDescent="0.25">
      <c r="A219" s="35">
        <f t="shared" si="15"/>
        <v>172</v>
      </c>
      <c r="B219" s="70" t="str">
        <f>'[1]Под 4 и 5'!A41</f>
        <v>5/ 172</v>
      </c>
      <c r="C219" s="90" t="s">
        <v>273</v>
      </c>
      <c r="D219" s="201">
        <v>76.8</v>
      </c>
      <c r="E219" s="42">
        <f t="shared" si="16"/>
        <v>43.066082214027134</v>
      </c>
      <c r="F219" s="711">
        <v>5.05</v>
      </c>
      <c r="G219" s="43">
        <f t="shared" si="17"/>
        <v>217.48371518083701</v>
      </c>
    </row>
    <row r="220" spans="1:7" ht="15" x14ac:dyDescent="0.25">
      <c r="A220" s="35">
        <f t="shared" si="15"/>
        <v>173</v>
      </c>
      <c r="B220" s="70" t="str">
        <f>'[1]Под 4 и 5'!A42</f>
        <v>5/ 173</v>
      </c>
      <c r="C220" s="79" t="s">
        <v>274</v>
      </c>
      <c r="D220" s="201">
        <v>74.599999999999994</v>
      </c>
      <c r="E220" s="42">
        <f t="shared" si="16"/>
        <v>41.832418400604482</v>
      </c>
      <c r="F220" s="711">
        <v>5.05</v>
      </c>
      <c r="G220" s="43">
        <f t="shared" si="17"/>
        <v>211.25371292305263</v>
      </c>
    </row>
    <row r="221" spans="1:7" ht="15" x14ac:dyDescent="0.25">
      <c r="A221" s="35">
        <f t="shared" si="15"/>
        <v>174</v>
      </c>
      <c r="B221" s="70" t="str">
        <f>'[1]Под 4 и 5'!A43</f>
        <v>5/ 174</v>
      </c>
      <c r="C221" s="94" t="s">
        <v>275</v>
      </c>
      <c r="D221" s="201">
        <v>107.4</v>
      </c>
      <c r="E221" s="42">
        <f t="shared" si="16"/>
        <v>60.225224346178571</v>
      </c>
      <c r="F221" s="711">
        <v>5.05</v>
      </c>
      <c r="G221" s="43">
        <f t="shared" si="17"/>
        <v>304.13738294820178</v>
      </c>
    </row>
    <row r="222" spans="1:7" ht="15" x14ac:dyDescent="0.25">
      <c r="A222" s="35">
        <f t="shared" si="15"/>
        <v>175</v>
      </c>
      <c r="B222" s="70" t="str">
        <f>'[1]Под 4 и 5'!A44</f>
        <v>5/ 175</v>
      </c>
      <c r="C222" s="35" t="s">
        <v>276</v>
      </c>
      <c r="D222" s="201">
        <v>107.4</v>
      </c>
      <c r="E222" s="42">
        <f t="shared" si="16"/>
        <v>60.225224346178571</v>
      </c>
      <c r="F222" s="711">
        <v>5.05</v>
      </c>
      <c r="G222" s="43">
        <f t="shared" si="17"/>
        <v>304.13738294820178</v>
      </c>
    </row>
    <row r="223" spans="1:7" ht="15" x14ac:dyDescent="0.25">
      <c r="A223" s="35">
        <f t="shared" si="15"/>
        <v>176</v>
      </c>
      <c r="B223" s="70" t="str">
        <f>'[1]Под 4 и 5'!A45</f>
        <v>5/ 176</v>
      </c>
      <c r="C223" s="94" t="s">
        <v>277</v>
      </c>
      <c r="D223" s="201">
        <v>76.5</v>
      </c>
      <c r="E223" s="42">
        <f t="shared" si="16"/>
        <v>42.89785533037859</v>
      </c>
      <c r="F223" s="711">
        <v>5.05</v>
      </c>
      <c r="G223" s="43">
        <f t="shared" si="17"/>
        <v>216.63416941841189</v>
      </c>
    </row>
    <row r="224" spans="1:7" ht="15" x14ac:dyDescent="0.25">
      <c r="A224" s="35">
        <f t="shared" si="15"/>
        <v>177</v>
      </c>
      <c r="B224" s="70" t="str">
        <f>'[1]Под 4 и 5'!A46</f>
        <v>5/ 177</v>
      </c>
      <c r="C224" s="94" t="s">
        <v>278</v>
      </c>
      <c r="D224" s="201">
        <v>74.3</v>
      </c>
      <c r="E224" s="42">
        <f t="shared" ref="E224:E237" si="18">D224/$A$5*$E$4</f>
        <v>41.664191516955938</v>
      </c>
      <c r="F224" s="711">
        <v>5.05</v>
      </c>
      <c r="G224" s="43">
        <f t="shared" si="17"/>
        <v>210.40416716062748</v>
      </c>
    </row>
    <row r="225" spans="1:7" ht="15" x14ac:dyDescent="0.25">
      <c r="A225" s="35">
        <f t="shared" si="15"/>
        <v>178</v>
      </c>
      <c r="B225" s="70" t="str">
        <f>'[1]Под 4 и 5'!A47</f>
        <v>5/ 178</v>
      </c>
      <c r="C225" s="90" t="s">
        <v>978</v>
      </c>
      <c r="D225" s="201">
        <f>110.2-2.7</f>
        <v>107.5</v>
      </c>
      <c r="E225" s="42">
        <f t="shared" si="18"/>
        <v>60.281299974061412</v>
      </c>
      <c r="F225" s="711">
        <v>5.05</v>
      </c>
      <c r="G225" s="43">
        <f t="shared" si="17"/>
        <v>304.42056486901009</v>
      </c>
    </row>
    <row r="226" spans="1:7" ht="15" x14ac:dyDescent="0.25">
      <c r="A226" s="35">
        <f t="shared" si="15"/>
        <v>179</v>
      </c>
      <c r="B226" s="70" t="str">
        <f>'[1]Под 4 и 5'!A48</f>
        <v>5/ 179</v>
      </c>
      <c r="C226" s="86" t="s">
        <v>279</v>
      </c>
      <c r="D226" s="201">
        <v>107.1</v>
      </c>
      <c r="E226" s="42">
        <f t="shared" si="18"/>
        <v>60.05699746253002</v>
      </c>
      <c r="F226" s="711">
        <v>5.05</v>
      </c>
      <c r="G226" s="43">
        <f t="shared" si="17"/>
        <v>303.2878371857766</v>
      </c>
    </row>
    <row r="227" spans="1:7" ht="15" x14ac:dyDescent="0.25">
      <c r="A227" s="35">
        <f t="shared" si="15"/>
        <v>180</v>
      </c>
      <c r="B227" s="70" t="str">
        <f>'[1]Под 4 и 5'!A49</f>
        <v>5/ 180</v>
      </c>
      <c r="C227" s="86" t="s">
        <v>280</v>
      </c>
      <c r="D227" s="201">
        <v>76.5</v>
      </c>
      <c r="E227" s="42">
        <f t="shared" si="18"/>
        <v>42.89785533037859</v>
      </c>
      <c r="F227" s="711">
        <v>5.05</v>
      </c>
      <c r="G227" s="43">
        <f t="shared" si="17"/>
        <v>216.63416941841189</v>
      </c>
    </row>
    <row r="228" spans="1:7" ht="15" x14ac:dyDescent="0.25">
      <c r="A228" s="35">
        <f t="shared" si="15"/>
        <v>181</v>
      </c>
      <c r="B228" s="70" t="str">
        <f>'[1]Под 4 и 5'!A50</f>
        <v>5/ 181</v>
      </c>
      <c r="C228" s="86" t="s">
        <v>281</v>
      </c>
      <c r="D228" s="201">
        <f>74.3</f>
        <v>74.3</v>
      </c>
      <c r="E228" s="42">
        <f t="shared" si="18"/>
        <v>41.664191516955938</v>
      </c>
      <c r="F228" s="711">
        <v>5.05</v>
      </c>
      <c r="G228" s="43">
        <f t="shared" si="17"/>
        <v>210.40416716062748</v>
      </c>
    </row>
    <row r="229" spans="1:7" ht="15" x14ac:dyDescent="0.25">
      <c r="A229" s="35">
        <f t="shared" si="15"/>
        <v>182</v>
      </c>
      <c r="B229" s="70" t="str">
        <f>'[1]Под 4 и 5'!A51</f>
        <v>5/ 182</v>
      </c>
      <c r="C229" s="90" t="s">
        <v>282</v>
      </c>
      <c r="D229" s="201">
        <v>107.5</v>
      </c>
      <c r="E229" s="42">
        <f t="shared" si="18"/>
        <v>60.281299974061412</v>
      </c>
      <c r="F229" s="711">
        <v>5.05</v>
      </c>
      <c r="G229" s="43">
        <f t="shared" si="17"/>
        <v>304.42056486901009</v>
      </c>
    </row>
    <row r="230" spans="1:7" ht="15" x14ac:dyDescent="0.25">
      <c r="A230" s="35">
        <f t="shared" si="15"/>
        <v>183</v>
      </c>
      <c r="B230" s="70" t="str">
        <f>'[1]Под 4 и 5'!A52</f>
        <v>5/ 183</v>
      </c>
      <c r="C230" s="79" t="s">
        <v>283</v>
      </c>
      <c r="D230" s="201">
        <v>107.2</v>
      </c>
      <c r="E230" s="42">
        <f t="shared" si="18"/>
        <v>60.113073090412875</v>
      </c>
      <c r="F230" s="711">
        <v>5.05</v>
      </c>
      <c r="G230" s="43">
        <f t="shared" si="17"/>
        <v>303.57101910658503</v>
      </c>
    </row>
    <row r="231" spans="1:7" ht="15" x14ac:dyDescent="0.25">
      <c r="A231" s="35">
        <f t="shared" si="15"/>
        <v>184</v>
      </c>
      <c r="B231" s="70" t="str">
        <f>'[1]Под 4 и 5'!A53</f>
        <v>5/ 184</v>
      </c>
      <c r="C231" s="94" t="s">
        <v>284</v>
      </c>
      <c r="D231" s="201">
        <v>76.7</v>
      </c>
      <c r="E231" s="42">
        <f t="shared" si="18"/>
        <v>43.010006586144286</v>
      </c>
      <c r="F231" s="711">
        <v>5.05</v>
      </c>
      <c r="G231" s="43">
        <f t="shared" si="17"/>
        <v>217.20053326002864</v>
      </c>
    </row>
    <row r="232" spans="1:7" ht="15" x14ac:dyDescent="0.25">
      <c r="A232" s="35">
        <f t="shared" si="15"/>
        <v>185</v>
      </c>
      <c r="B232" s="70" t="str">
        <f>'[1]Под 4 и 5'!A54</f>
        <v>5/ 185</v>
      </c>
      <c r="C232" s="97" t="s">
        <v>285</v>
      </c>
      <c r="D232" s="201">
        <v>74.400000000000006</v>
      </c>
      <c r="E232" s="42">
        <f t="shared" si="18"/>
        <v>41.720267144838786</v>
      </c>
      <c r="F232" s="711">
        <v>5.05</v>
      </c>
      <c r="G232" s="43">
        <f t="shared" si="17"/>
        <v>210.68734908143585</v>
      </c>
    </row>
    <row r="233" spans="1:7" ht="15" x14ac:dyDescent="0.25">
      <c r="A233" s="35">
        <f t="shared" si="15"/>
        <v>186</v>
      </c>
      <c r="B233" s="70" t="s">
        <v>286</v>
      </c>
      <c r="C233" s="98" t="s">
        <v>287</v>
      </c>
      <c r="D233" s="201">
        <v>107.6</v>
      </c>
      <c r="E233" s="42">
        <f t="shared" si="18"/>
        <v>60.33737560194426</v>
      </c>
      <c r="F233" s="711">
        <v>5.05</v>
      </c>
      <c r="G233" s="43">
        <f t="shared" si="17"/>
        <v>304.70374678981852</v>
      </c>
    </row>
    <row r="234" spans="1:7" ht="15" x14ac:dyDescent="0.25">
      <c r="A234" s="35">
        <f t="shared" si="15"/>
        <v>187</v>
      </c>
      <c r="B234" s="70" t="str">
        <f>'[1]Под 4 и 5'!A62</f>
        <v>5/ 187</v>
      </c>
      <c r="C234" s="86" t="s">
        <v>288</v>
      </c>
      <c r="D234" s="201">
        <f>115</f>
        <v>115</v>
      </c>
      <c r="E234" s="42">
        <f t="shared" si="18"/>
        <v>64.486972065275012</v>
      </c>
      <c r="F234" s="711">
        <v>5.05</v>
      </c>
      <c r="G234" s="43">
        <f t="shared" si="17"/>
        <v>325.65920892963879</v>
      </c>
    </row>
    <row r="235" spans="1:7" ht="15" x14ac:dyDescent="0.25">
      <c r="A235" s="35">
        <f t="shared" si="15"/>
        <v>188</v>
      </c>
      <c r="B235" s="70" t="str">
        <f>'[1]Под 4 и 5'!A63</f>
        <v>5/ 188</v>
      </c>
      <c r="C235" s="79" t="s">
        <v>289</v>
      </c>
      <c r="D235" s="201">
        <v>78.099999999999994</v>
      </c>
      <c r="E235" s="42">
        <f t="shared" si="18"/>
        <v>43.795065376504155</v>
      </c>
      <c r="F235" s="711">
        <v>5.05</v>
      </c>
      <c r="G235" s="43">
        <f t="shared" si="17"/>
        <v>221.16508015134599</v>
      </c>
    </row>
    <row r="236" spans="1:7" ht="15" x14ac:dyDescent="0.25">
      <c r="A236" s="35">
        <f t="shared" si="15"/>
        <v>189</v>
      </c>
      <c r="B236" s="70" t="str">
        <f>'[1]Под 4 и 5'!A64</f>
        <v>5/ 189</v>
      </c>
      <c r="C236" s="90" t="s">
        <v>290</v>
      </c>
      <c r="D236" s="201">
        <v>78.599999999999994</v>
      </c>
      <c r="E236" s="42">
        <f t="shared" si="18"/>
        <v>44.075443515918394</v>
      </c>
      <c r="F236" s="711">
        <v>5.05</v>
      </c>
      <c r="G236" s="43">
        <f t="shared" si="17"/>
        <v>222.58098975538789</v>
      </c>
    </row>
    <row r="237" spans="1:7" ht="15" x14ac:dyDescent="0.25">
      <c r="A237" s="35">
        <f t="shared" si="15"/>
        <v>190</v>
      </c>
      <c r="B237" s="70" t="str">
        <f>'[1]Под 4 и 5'!A65</f>
        <v>5/ 190</v>
      </c>
      <c r="C237" s="90" t="s">
        <v>291</v>
      </c>
      <c r="D237" s="201">
        <f>112.6</f>
        <v>112.6</v>
      </c>
      <c r="E237" s="42">
        <f t="shared" si="18"/>
        <v>63.141156996086657</v>
      </c>
      <c r="F237" s="711">
        <v>5.05</v>
      </c>
      <c r="G237" s="43">
        <f t="shared" si="17"/>
        <v>318.86284283023758</v>
      </c>
    </row>
    <row r="238" spans="1:7" x14ac:dyDescent="0.2">
      <c r="A238" s="73"/>
      <c r="B238" s="99"/>
      <c r="C238" s="100"/>
      <c r="D238" s="101">
        <f>SUM(D48:D237)</f>
        <v>15221.5</v>
      </c>
      <c r="E238" s="101">
        <f>SUM(E48:E237)</f>
        <v>8535.5516981876845</v>
      </c>
      <c r="F238" s="102"/>
      <c r="G238" s="319">
        <f>SUM(G48:G237)</f>
        <v>43104.536075847776</v>
      </c>
    </row>
    <row r="239" spans="1:7" x14ac:dyDescent="0.2">
      <c r="C239" t="s">
        <v>1010</v>
      </c>
      <c r="D239" s="37">
        <f>D238+D36</f>
        <v>16565.2</v>
      </c>
      <c r="E239" s="37">
        <f>E238+E36</f>
        <v>9289.0399100495106</v>
      </c>
      <c r="G239" s="320">
        <f>G238+G36</f>
        <v>46909.651545749999</v>
      </c>
    </row>
    <row r="240" spans="1:7" x14ac:dyDescent="0.2">
      <c r="E240" s="103"/>
    </row>
    <row r="243" spans="2:2" x14ac:dyDescent="0.2">
      <c r="B243" s="10"/>
    </row>
    <row r="244" spans="2:2" x14ac:dyDescent="0.2">
      <c r="B244" s="10"/>
    </row>
    <row r="245" spans="2:2" x14ac:dyDescent="0.2">
      <c r="B245" s="10"/>
    </row>
    <row r="246" spans="2:2" x14ac:dyDescent="0.2">
      <c r="B246" s="10"/>
    </row>
  </sheetData>
  <customSheetViews>
    <customSheetView guid="{59BB3A05-2517-4212-B4B0-766CE27362F6}" fitToPage="1" state="hidden">
      <selection activeCell="B7" sqref="B7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1"/>
      <headerFooter alignWithMargins="0"/>
    </customSheetView>
    <customSheetView guid="{11E80AD0-6AA7-470D-8311-11AF96F196E5}" fitToPage="1" state="hidden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2"/>
      <headerFooter alignWithMargins="0"/>
    </customSheetView>
    <customSheetView guid="{1298D0A2-0CF6-434E-A6CD-B210E2963ADD}" fitToPage="1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3"/>
      <headerFooter alignWithMargins="0"/>
    </customSheetView>
  </customSheetViews>
  <mergeCells count="6">
    <mergeCell ref="A9:D9"/>
    <mergeCell ref="A11:D11"/>
    <mergeCell ref="A1:E1"/>
    <mergeCell ref="A4:B4"/>
    <mergeCell ref="A2:E2"/>
    <mergeCell ref="A3:E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9" fitToHeight="8" orientation="portrait" r:id="rId4"/>
  <headerFooter alignWithMargins="0"/>
  <ignoredErrors>
    <ignoredError sqref="E36 G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7" workbookViewId="0">
      <selection activeCell="I12" sqref="I12"/>
    </sheetView>
  </sheetViews>
  <sheetFormatPr defaultRowHeight="12.75" x14ac:dyDescent="0.2"/>
  <cols>
    <col min="1" max="1" width="6.5703125" customWidth="1"/>
    <col min="2" max="2" width="32.85546875" customWidth="1"/>
    <col min="3" max="3" width="18.85546875" customWidth="1"/>
    <col min="4" max="4" width="15.7109375" style="37" customWidth="1"/>
    <col min="5" max="5" width="17.42578125" customWidth="1"/>
    <col min="6" max="6" width="10.140625" customWidth="1"/>
    <col min="7" max="7" width="13.5703125" customWidth="1"/>
  </cols>
  <sheetData>
    <row r="1" spans="1:7" ht="21" customHeight="1" x14ac:dyDescent="0.2">
      <c r="A1" s="884"/>
      <c r="B1" s="884"/>
      <c r="C1" s="884"/>
      <c r="D1" s="884"/>
      <c r="E1" s="884"/>
    </row>
    <row r="2" spans="1:7" ht="41.25" customHeight="1" x14ac:dyDescent="0.2">
      <c r="A2" s="891" t="s">
        <v>1019</v>
      </c>
      <c r="B2" s="891"/>
      <c r="C2" s="891"/>
      <c r="D2" s="891"/>
      <c r="E2" s="891"/>
    </row>
    <row r="3" spans="1:7" ht="16.5" customHeight="1" x14ac:dyDescent="0.2">
      <c r="A3" s="887" t="s">
        <v>1416</v>
      </c>
      <c r="B3" s="887"/>
      <c r="C3" s="887"/>
      <c r="D3" s="887"/>
      <c r="E3" s="887"/>
    </row>
    <row r="4" spans="1:7" ht="15" x14ac:dyDescent="0.35">
      <c r="A4" s="885" t="s">
        <v>1418</v>
      </c>
      <c r="B4" s="885"/>
      <c r="C4" s="367"/>
      <c r="D4" s="367"/>
      <c r="E4" s="367">
        <v>24861.41</v>
      </c>
    </row>
    <row r="5" spans="1:7" ht="15" x14ac:dyDescent="0.25">
      <c r="A5" s="373">
        <v>44335.5</v>
      </c>
      <c r="B5" s="368" t="s">
        <v>1989</v>
      </c>
      <c r="C5" s="290"/>
      <c r="D5" s="290"/>
      <c r="E5" s="289"/>
      <c r="F5" s="133"/>
    </row>
    <row r="6" spans="1:7" ht="15" x14ac:dyDescent="0.25">
      <c r="A6" s="368" t="s">
        <v>1417</v>
      </c>
      <c r="B6" s="291">
        <f>E4*5.05/A5</f>
        <v>2.8318192080838154</v>
      </c>
      <c r="C6" s="290" t="s">
        <v>1021</v>
      </c>
      <c r="D6" s="290"/>
      <c r="E6" s="289"/>
      <c r="F6" s="133"/>
    </row>
    <row r="7" spans="1:7" ht="26.25" customHeight="1" x14ac:dyDescent="0.25">
      <c r="B7" s="36"/>
      <c r="C7" s="293" t="s">
        <v>1985</v>
      </c>
    </row>
    <row r="8" spans="1:7" s="34" customFormat="1" ht="25.5" x14ac:dyDescent="0.2">
      <c r="A8" s="33" t="s">
        <v>23</v>
      </c>
      <c r="B8" s="38" t="s">
        <v>24</v>
      </c>
      <c r="C8" s="38"/>
      <c r="D8" s="33" t="s">
        <v>26</v>
      </c>
      <c r="E8" s="39" t="s">
        <v>25</v>
      </c>
      <c r="F8" s="33" t="s">
        <v>1013</v>
      </c>
      <c r="G8" s="33" t="s">
        <v>1014</v>
      </c>
    </row>
    <row r="9" spans="1:7" ht="15.75" thickBot="1" x14ac:dyDescent="0.3">
      <c r="A9" s="35"/>
      <c r="B9" s="55" t="s">
        <v>82</v>
      </c>
      <c r="C9" s="140"/>
      <c r="D9" s="40"/>
      <c r="E9" s="56"/>
      <c r="F9" s="53"/>
      <c r="G9" s="212"/>
    </row>
    <row r="10" spans="1:7" ht="15.75" thickTop="1" x14ac:dyDescent="0.25">
      <c r="A10" s="35">
        <v>1</v>
      </c>
      <c r="B10" s="57" t="s">
        <v>83</v>
      </c>
      <c r="C10" s="58" t="s">
        <v>84</v>
      </c>
      <c r="D10" s="43">
        <v>112.3</v>
      </c>
      <c r="E10" s="42">
        <f>D10/$A$5*$E$4</f>
        <v>62.972930112438114</v>
      </c>
      <c r="F10" s="43">
        <v>5.05</v>
      </c>
      <c r="G10" s="43">
        <f>E10*F10</f>
        <v>318.01329706781246</v>
      </c>
    </row>
    <row r="11" spans="1:7" ht="15.75" thickBot="1" x14ac:dyDescent="0.3">
      <c r="A11" s="35">
        <f t="shared" ref="A11:A26" si="0">A10+1</f>
        <v>2</v>
      </c>
      <c r="B11" s="59" t="s">
        <v>85</v>
      </c>
      <c r="C11" s="60"/>
      <c r="D11" s="43">
        <v>121.6</v>
      </c>
      <c r="E11" s="42">
        <f t="shared" ref="E11:E27" si="1">D11/$A$5*$E$4</f>
        <v>68.187963505542953</v>
      </c>
      <c r="F11" s="43">
        <v>5.05</v>
      </c>
      <c r="G11" s="43">
        <f>E11*F11</f>
        <v>344.3492157029919</v>
      </c>
    </row>
    <row r="12" spans="1:7" ht="16.5" thickTop="1" thickBot="1" x14ac:dyDescent="0.3">
      <c r="A12" s="35">
        <f t="shared" si="0"/>
        <v>3</v>
      </c>
      <c r="B12" s="57" t="s">
        <v>86</v>
      </c>
      <c r="C12" s="58" t="s">
        <v>1022</v>
      </c>
      <c r="D12" s="43">
        <v>215.6</v>
      </c>
      <c r="E12" s="42">
        <f t="shared" si="1"/>
        <v>120.89905371541992</v>
      </c>
      <c r="F12" s="43">
        <v>5.05</v>
      </c>
      <c r="G12" s="43">
        <f t="shared" ref="G12:G26" si="2">E12*F12</f>
        <v>610.54022126287055</v>
      </c>
    </row>
    <row r="13" spans="1:7" ht="16.5" thickTop="1" thickBot="1" x14ac:dyDescent="0.3">
      <c r="A13" s="35">
        <f t="shared" si="0"/>
        <v>4</v>
      </c>
      <c r="B13" s="61" t="s">
        <v>87</v>
      </c>
      <c r="C13" s="58" t="s">
        <v>1022</v>
      </c>
      <c r="D13" s="43">
        <v>228.9</v>
      </c>
      <c r="E13" s="42">
        <f>D13/$A$5*$E$4</f>
        <v>128.35711222383867</v>
      </c>
      <c r="F13" s="43">
        <v>5.05</v>
      </c>
      <c r="G13" s="43">
        <f t="shared" si="2"/>
        <v>648.20341673038524</v>
      </c>
    </row>
    <row r="14" spans="1:7" ht="15.75" thickTop="1" x14ac:dyDescent="0.25">
      <c r="A14" s="35">
        <f>A13+1</f>
        <v>5</v>
      </c>
      <c r="B14" s="62" t="s">
        <v>88</v>
      </c>
      <c r="C14" s="48" t="s">
        <v>89</v>
      </c>
      <c r="D14" s="43">
        <v>104.7</v>
      </c>
      <c r="E14" s="42">
        <f>D14/$A$5*$E$4</f>
        <v>58.711182393341687</v>
      </c>
      <c r="F14" s="43">
        <v>5.05</v>
      </c>
      <c r="G14" s="43">
        <f>E14*F14</f>
        <v>296.4914710863755</v>
      </c>
    </row>
    <row r="15" spans="1:7" ht="15" x14ac:dyDescent="0.25">
      <c r="A15" s="35">
        <f t="shared" si="0"/>
        <v>6</v>
      </c>
      <c r="B15" s="63" t="s">
        <v>90</v>
      </c>
      <c r="C15" s="45" t="s">
        <v>91</v>
      </c>
      <c r="D15" s="43">
        <v>110</v>
      </c>
      <c r="E15" s="42">
        <f t="shared" si="1"/>
        <v>61.683190671132607</v>
      </c>
      <c r="F15" s="43">
        <v>5.05</v>
      </c>
      <c r="G15" s="43">
        <f t="shared" si="2"/>
        <v>311.50011288921968</v>
      </c>
    </row>
    <row r="16" spans="1:7" ht="15" x14ac:dyDescent="0.25">
      <c r="A16" s="35">
        <f t="shared" si="0"/>
        <v>7</v>
      </c>
      <c r="B16" s="64" t="s">
        <v>92</v>
      </c>
      <c r="C16" s="45" t="s">
        <v>93</v>
      </c>
      <c r="D16" s="43">
        <v>125.9</v>
      </c>
      <c r="E16" s="42">
        <f t="shared" si="1"/>
        <v>70.599215504505423</v>
      </c>
      <c r="F16" s="43">
        <v>5.05</v>
      </c>
      <c r="G16" s="43">
        <f t="shared" si="2"/>
        <v>356.52603829775239</v>
      </c>
    </row>
    <row r="17" spans="1:7" ht="15.75" thickBot="1" x14ac:dyDescent="0.3">
      <c r="A17" s="35">
        <f t="shared" si="0"/>
        <v>8</v>
      </c>
      <c r="B17" s="61" t="s">
        <v>94</v>
      </c>
      <c r="C17" s="888" t="s">
        <v>95</v>
      </c>
      <c r="D17" s="43">
        <v>102.1</v>
      </c>
      <c r="E17" s="42">
        <f t="shared" si="1"/>
        <v>57.253216068387637</v>
      </c>
      <c r="F17" s="43">
        <v>5.05</v>
      </c>
      <c r="G17" s="43">
        <f t="shared" si="2"/>
        <v>289.12874114535754</v>
      </c>
    </row>
    <row r="18" spans="1:7" ht="15.75" thickTop="1" x14ac:dyDescent="0.25">
      <c r="A18" s="35">
        <f t="shared" si="0"/>
        <v>9</v>
      </c>
      <c r="B18" s="65" t="s">
        <v>96</v>
      </c>
      <c r="C18" s="889"/>
      <c r="D18" s="43">
        <v>110.6</v>
      </c>
      <c r="E18" s="42">
        <f t="shared" si="1"/>
        <v>62.019644438429694</v>
      </c>
      <c r="F18" s="43">
        <v>5.05</v>
      </c>
      <c r="G18" s="43">
        <f t="shared" si="2"/>
        <v>313.19920441406992</v>
      </c>
    </row>
    <row r="19" spans="1:7" ht="15" x14ac:dyDescent="0.25">
      <c r="A19" s="35">
        <f t="shared" si="0"/>
        <v>10</v>
      </c>
      <c r="B19" s="54" t="s">
        <v>97</v>
      </c>
      <c r="C19" s="45" t="s">
        <v>98</v>
      </c>
      <c r="D19" s="43">
        <v>116.9</v>
      </c>
      <c r="E19" s="42">
        <f t="shared" si="1"/>
        <v>65.55240899504912</v>
      </c>
      <c r="F19" s="43">
        <v>5.05</v>
      </c>
      <c r="G19" s="43">
        <f t="shared" si="2"/>
        <v>331.03966542499802</v>
      </c>
    </row>
    <row r="20" spans="1:7" ht="15" x14ac:dyDescent="0.25">
      <c r="A20" s="35">
        <f t="shared" si="0"/>
        <v>11</v>
      </c>
      <c r="B20" s="55" t="s">
        <v>99</v>
      </c>
      <c r="C20" s="888" t="s">
        <v>100</v>
      </c>
      <c r="D20" s="43">
        <v>129.9</v>
      </c>
      <c r="E20" s="42">
        <f t="shared" si="1"/>
        <v>72.842240619819336</v>
      </c>
      <c r="F20" s="43">
        <v>5.05</v>
      </c>
      <c r="G20" s="43">
        <f t="shared" si="2"/>
        <v>367.85331513008765</v>
      </c>
    </row>
    <row r="21" spans="1:7" ht="15.75" thickBot="1" x14ac:dyDescent="0.3">
      <c r="A21" s="66">
        <f t="shared" si="0"/>
        <v>12</v>
      </c>
      <c r="B21" s="67" t="s">
        <v>101</v>
      </c>
      <c r="C21" s="890"/>
      <c r="D21" s="43">
        <v>105.9</v>
      </c>
      <c r="E21" s="42">
        <f t="shared" si="1"/>
        <v>59.384089927935854</v>
      </c>
      <c r="F21" s="43">
        <v>5.05</v>
      </c>
      <c r="G21" s="43">
        <f t="shared" si="2"/>
        <v>299.88965413607605</v>
      </c>
    </row>
    <row r="22" spans="1:7" ht="16.5" thickTop="1" thickBot="1" x14ac:dyDescent="0.3">
      <c r="A22" s="66">
        <f t="shared" si="0"/>
        <v>13</v>
      </c>
      <c r="B22" s="67" t="s">
        <v>1442</v>
      </c>
      <c r="C22" s="60" t="s">
        <v>1425</v>
      </c>
      <c r="D22" s="43">
        <v>34.9</v>
      </c>
      <c r="E22" s="42">
        <f>D22/$A$5*$E$4</f>
        <v>19.57039413111389</v>
      </c>
      <c r="F22" s="43">
        <v>5.05</v>
      </c>
      <c r="G22" s="43">
        <f t="shared" si="2"/>
        <v>98.830490362125147</v>
      </c>
    </row>
    <row r="23" spans="1:7" ht="16.5" thickTop="1" thickBot="1" x14ac:dyDescent="0.3">
      <c r="A23" s="66">
        <f t="shared" si="0"/>
        <v>14</v>
      </c>
      <c r="B23" s="67" t="s">
        <v>1443</v>
      </c>
      <c r="C23" s="60" t="s">
        <v>1426</v>
      </c>
      <c r="D23" s="43">
        <v>37</v>
      </c>
      <c r="E23" s="42">
        <f>D23/$A$5*$E$4</f>
        <v>20.747982316653697</v>
      </c>
      <c r="F23" s="43">
        <v>5.05</v>
      </c>
      <c r="G23" s="43">
        <f t="shared" si="2"/>
        <v>104.77731069910116</v>
      </c>
    </row>
    <row r="24" spans="1:7" ht="16.5" thickTop="1" thickBot="1" x14ac:dyDescent="0.3">
      <c r="A24" s="66">
        <f t="shared" si="0"/>
        <v>15</v>
      </c>
      <c r="B24" s="67" t="s">
        <v>1444</v>
      </c>
      <c r="C24" s="60" t="s">
        <v>1423</v>
      </c>
      <c r="D24" s="43">
        <v>28.9</v>
      </c>
      <c r="E24" s="42">
        <f>D24/$A$5*$E$4</f>
        <v>16.205856458143021</v>
      </c>
      <c r="F24" s="43">
        <v>5.05</v>
      </c>
      <c r="G24" s="43">
        <f t="shared" si="2"/>
        <v>81.83957511362226</v>
      </c>
    </row>
    <row r="25" spans="1:7" ht="16.5" thickTop="1" thickBot="1" x14ac:dyDescent="0.3">
      <c r="A25" s="66">
        <f t="shared" si="0"/>
        <v>16</v>
      </c>
      <c r="B25" s="67" t="s">
        <v>1670</v>
      </c>
      <c r="C25" s="60" t="s">
        <v>1669</v>
      </c>
      <c r="D25" s="43">
        <v>14.5</v>
      </c>
      <c r="E25" s="42">
        <f>D25/$A$5*$E$4</f>
        <v>8.1309660430129345</v>
      </c>
      <c r="F25" s="43">
        <v>5.05</v>
      </c>
      <c r="G25" s="43">
        <f t="shared" si="2"/>
        <v>41.061378517215317</v>
      </c>
    </row>
    <row r="26" spans="1:7" ht="16.5" thickTop="1" thickBot="1" x14ac:dyDescent="0.3">
      <c r="A26" s="66">
        <f t="shared" si="0"/>
        <v>17</v>
      </c>
      <c r="B26" s="67" t="s">
        <v>1671</v>
      </c>
      <c r="C26" s="60" t="s">
        <v>153</v>
      </c>
      <c r="D26" s="43">
        <v>14.5</v>
      </c>
      <c r="E26" s="42">
        <f>D26/$A$5*$E$4</f>
        <v>8.1309660430129345</v>
      </c>
      <c r="F26" s="43">
        <v>5.05</v>
      </c>
      <c r="G26" s="43">
        <f t="shared" si="2"/>
        <v>41.061378517215317</v>
      </c>
    </row>
    <row r="27" spans="1:7" ht="16.5" thickTop="1" thickBot="1" x14ac:dyDescent="0.3">
      <c r="A27" s="35">
        <v>18</v>
      </c>
      <c r="B27" s="68" t="s">
        <v>102</v>
      </c>
      <c r="C27" s="69" t="s">
        <v>103</v>
      </c>
      <c r="D27" s="43"/>
      <c r="E27" s="42">
        <f t="shared" si="1"/>
        <v>0</v>
      </c>
      <c r="F27" s="43"/>
      <c r="G27" s="43"/>
    </row>
    <row r="28" spans="1:7" ht="15.75" thickTop="1" x14ac:dyDescent="0.25">
      <c r="A28" s="35"/>
      <c r="B28" s="52"/>
      <c r="C28" s="50"/>
      <c r="D28" s="207">
        <f>SUM(D10:D26)</f>
        <v>1714.2000000000003</v>
      </c>
      <c r="E28" s="207">
        <f>SUM(E10:E27)</f>
        <v>961.24841316777747</v>
      </c>
      <c r="F28" s="43"/>
      <c r="G28" s="207">
        <f>SUM(G10:G27)</f>
        <v>4854.3044864972771</v>
      </c>
    </row>
    <row r="29" spans="1:7" ht="15" x14ac:dyDescent="0.25">
      <c r="A29" s="35"/>
      <c r="B29" s="70" t="s">
        <v>104</v>
      </c>
      <c r="C29" s="71"/>
      <c r="D29" s="72"/>
      <c r="E29" s="42"/>
      <c r="F29" s="43"/>
      <c r="G29" s="43"/>
    </row>
    <row r="30" spans="1:7" ht="15" x14ac:dyDescent="0.25">
      <c r="A30" s="35">
        <v>1</v>
      </c>
      <c r="B30" s="70" t="s">
        <v>106</v>
      </c>
      <c r="C30" s="71"/>
      <c r="D30" s="43">
        <v>1221.3</v>
      </c>
      <c r="E30" s="42">
        <f>D30/$A$5*$E$4</f>
        <v>684.85164333322052</v>
      </c>
      <c r="F30" s="43">
        <v>5.05</v>
      </c>
      <c r="G30" s="43">
        <f>E30*F30</f>
        <v>3458.5007988327634</v>
      </c>
    </row>
    <row r="31" spans="1:7" ht="15" x14ac:dyDescent="0.25">
      <c r="A31" s="35">
        <v>2</v>
      </c>
      <c r="B31" s="70" t="s">
        <v>107</v>
      </c>
      <c r="C31" s="71"/>
      <c r="D31" s="43">
        <v>923.7</v>
      </c>
      <c r="E31" s="42">
        <f>D31/$A$5*$E$4</f>
        <v>517.97057475386544</v>
      </c>
      <c r="F31" s="43">
        <v>5.05</v>
      </c>
      <c r="G31" s="43">
        <f>E31*F31</f>
        <v>2615.7514025070204</v>
      </c>
    </row>
    <row r="32" spans="1:7" ht="15" x14ac:dyDescent="0.25">
      <c r="A32" s="35">
        <v>3</v>
      </c>
      <c r="B32" s="70" t="s">
        <v>108</v>
      </c>
      <c r="C32" s="71"/>
      <c r="D32" s="43">
        <v>272.60000000000002</v>
      </c>
      <c r="E32" s="42">
        <f>D32/$A$5*$E$4</f>
        <v>152.86216160864319</v>
      </c>
      <c r="F32" s="43">
        <v>5.05</v>
      </c>
      <c r="G32" s="43">
        <f>E32*F32</f>
        <v>771.95391612364813</v>
      </c>
    </row>
    <row r="33" spans="1:7" ht="15" x14ac:dyDescent="0.25">
      <c r="A33" s="35">
        <v>4</v>
      </c>
      <c r="B33" s="70" t="s">
        <v>109</v>
      </c>
      <c r="C33" s="71"/>
      <c r="D33" s="43">
        <v>107.3</v>
      </c>
      <c r="E33" s="42">
        <f>D33/$A$5*$E$4</f>
        <v>60.169148718295723</v>
      </c>
      <c r="F33" s="43">
        <v>5.05</v>
      </c>
      <c r="G33" s="43">
        <f>E33*F33</f>
        <v>303.8542010273934</v>
      </c>
    </row>
    <row r="34" spans="1:7" ht="15" x14ac:dyDescent="0.25">
      <c r="A34" s="35"/>
      <c r="B34" s="35"/>
      <c r="C34" s="35"/>
      <c r="D34" s="74">
        <f>SUM(D30:D33)</f>
        <v>2524.9</v>
      </c>
      <c r="E34" s="74">
        <f>SUM(E30:E33)</f>
        <v>1415.8535284140248</v>
      </c>
      <c r="F34" s="75"/>
      <c r="G34" s="74">
        <f>SUM(G30:G33)</f>
        <v>7150.060318490825</v>
      </c>
    </row>
    <row r="35" spans="1:7" ht="18.75" customHeight="1" x14ac:dyDescent="0.25">
      <c r="A35" s="35"/>
      <c r="B35" s="71" t="s">
        <v>1034</v>
      </c>
      <c r="C35" s="100"/>
      <c r="D35" s="208">
        <f>D28+D34</f>
        <v>4239.1000000000004</v>
      </c>
      <c r="E35" s="208">
        <f>E28+E34</f>
        <v>2377.1019415818023</v>
      </c>
      <c r="F35" s="209"/>
      <c r="G35" s="208">
        <f>G28+G34</f>
        <v>12004.364804988101</v>
      </c>
    </row>
  </sheetData>
  <customSheetViews>
    <customSheetView guid="{59BB3A05-2517-4212-B4B0-766CE27362F6}" fitToPage="1" state="hidden" topLeftCell="A7">
      <selection activeCell="I12" sqref="I12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1"/>
      <headerFooter alignWithMargins="0"/>
    </customSheetView>
    <customSheetView guid="{11E80AD0-6AA7-470D-8311-11AF96F196E5}" fitToPage="1" state="hidden" topLeftCell="A2">
      <selection activeCell="B10" sqref="B10:B15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2"/>
      <headerFooter alignWithMargins="0"/>
    </customSheetView>
    <customSheetView guid="{1298D0A2-0CF6-434E-A6CD-B210E2963ADD}" fitToPage="1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3"/>
      <headerFooter alignWithMargins="0"/>
    </customSheetView>
  </customSheetViews>
  <mergeCells count="6">
    <mergeCell ref="C17:C18"/>
    <mergeCell ref="C20:C2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6" fitToHeight="8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6</vt:i4>
      </vt:variant>
    </vt:vector>
  </HeadingPairs>
  <TitlesOfParts>
    <vt:vector size="24" baseType="lpstr">
      <vt:lpstr>Общ. счетчики</vt:lpstr>
      <vt:lpstr>Под. 1 и 2</vt:lpstr>
      <vt:lpstr>Под. 3</vt:lpstr>
      <vt:lpstr>Под. 4  и 5</vt:lpstr>
      <vt:lpstr>Под.6</vt:lpstr>
      <vt:lpstr>Нежил. пом.</vt:lpstr>
      <vt:lpstr>МОП корп. 1</vt:lpstr>
      <vt:lpstr>МОП корп. 2</vt:lpstr>
      <vt:lpstr>МОП корп. 4, 5, 6</vt:lpstr>
      <vt:lpstr>Нежелые помещения</vt:lpstr>
      <vt:lpstr>корп. 3</vt:lpstr>
      <vt:lpstr>Норматив вода</vt:lpstr>
      <vt:lpstr>Норматив ээ</vt:lpstr>
      <vt:lpstr>Справка по ОПУ и ИПУ</vt:lpstr>
      <vt:lpstr>Лист1</vt:lpstr>
      <vt:lpstr>Лист2</vt:lpstr>
      <vt:lpstr>Лист4</vt:lpstr>
      <vt:lpstr>Лист3</vt:lpstr>
      <vt:lpstr>'Нежил. пом.'!Область_печати</vt:lpstr>
      <vt:lpstr>'Общ. счетчики'!Область_печати</vt:lpstr>
      <vt:lpstr>'Под. 1 и 2'!Область_печати</vt:lpstr>
      <vt:lpstr>'Под. 3'!Область_печати</vt:lpstr>
      <vt:lpstr>'Под. 4  и 5'!Область_печати</vt:lpstr>
      <vt:lpstr>Под.6!Область_печати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HP</cp:lastModifiedBy>
  <cp:lastPrinted>2024-07-02T13:50:45Z</cp:lastPrinted>
  <dcterms:created xsi:type="dcterms:W3CDTF">2010-02-17T17:09:47Z</dcterms:created>
  <dcterms:modified xsi:type="dcterms:W3CDTF">2024-09-05T12:55:29Z</dcterms:modified>
</cp:coreProperties>
</file>